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activeTab="2"/>
  </bookViews>
  <sheets>
    <sheet name="1" sheetId="1" r:id="rId1"/>
    <sheet name="2A" sheetId="2" r:id="rId2"/>
    <sheet name="2B" sheetId="3" r:id="rId3"/>
    <sheet name="3" sheetId="4" r:id="rId4"/>
    <sheet name="4" sheetId="5" r:id="rId5"/>
    <sheet name="5" sheetId="6" r:id="rId6"/>
    <sheet name="6" sheetId="7" r:id="rId7"/>
    <sheet name="7" sheetId="8" r:id="rId8"/>
    <sheet name=" 8" sheetId="9" r:id="rId9"/>
    <sheet name="9" sheetId="10" r:id="rId10"/>
    <sheet name="10" sheetId="11" r:id="rId11"/>
  </sheets>
  <definedNames>
    <definedName name="_xlnm.Print_Titles" localSheetId="8">' 8'!$6:$11</definedName>
    <definedName name="_xlnm.Print_Titles" localSheetId="0">'1'!$6:$12</definedName>
    <definedName name="_xlnm.Print_Titles" localSheetId="10">'10'!$8:$12</definedName>
    <definedName name="_xlnm.Print_Titles" localSheetId="1">'2A'!$7:$13</definedName>
    <definedName name="_xlnm.Print_Titles" localSheetId="2">'2B'!$6:$12</definedName>
    <definedName name="_xlnm.Print_Titles" localSheetId="3">'3'!$6:$11</definedName>
    <definedName name="_xlnm.Print_Titles" localSheetId="4">'4'!$6:$11</definedName>
    <definedName name="_xlnm.Print_Titles" localSheetId="5">'5'!$6:$9</definedName>
    <definedName name="_xlnm.Print_Titles" localSheetId="6">'6'!$6:$9</definedName>
    <definedName name="_xlnm.Print_Titles" localSheetId="7">'7'!$6:$11</definedName>
    <definedName name="_xlnm.Print_Titles" localSheetId="9">'9'!$6:$8</definedName>
  </definedNames>
  <calcPr fullCalcOnLoad="1"/>
</workbook>
</file>

<file path=xl/sharedStrings.xml><?xml version="1.0" encoding="utf-8"?>
<sst xmlns="http://schemas.openxmlformats.org/spreadsheetml/2006/main" count="1512" uniqueCount="316">
  <si>
    <t xml:space="preserve">Báo cáo viên </t>
  </si>
  <si>
    <t>Tuyên truyền viên</t>
  </si>
  <si>
    <t>HỘ TỊCH</t>
  </si>
  <si>
    <t>Trong nước</t>
  </si>
  <si>
    <t>Có yếu tố nước ngoài</t>
  </si>
  <si>
    <t>CHỨNG THỰC</t>
  </si>
  <si>
    <t>BÁN ĐẤU GIÁ (BĐG) TÀI SẢN</t>
  </si>
  <si>
    <t>BỘ TƯ PHÁP</t>
  </si>
  <si>
    <t>Số văn bản trái pháp luật đã được xử lý</t>
  </si>
  <si>
    <t>Tổng số</t>
  </si>
  <si>
    <t>Lệnh, Quyết định của Chủ tịch nước</t>
  </si>
  <si>
    <t>Nghị định của Chính phủ</t>
  </si>
  <si>
    <t>Thông tư, TTLT</t>
  </si>
  <si>
    <t>Luật, Nghị quyết của Quốc hội</t>
  </si>
  <si>
    <t>PHỔ BIẾN, GIÁO DỤC PHÁP LUẬT</t>
  </si>
  <si>
    <t>Tuyên truyền (TT) miệng pháp luật (PL)</t>
  </si>
  <si>
    <t>Tủ sách PL cấp xã</t>
  </si>
  <si>
    <t>Tủ sách PL ở cơ quan, đơn vị</t>
  </si>
  <si>
    <t>Biểu mẫu số 3</t>
  </si>
  <si>
    <t>Công dân Việt Nam</t>
  </si>
  <si>
    <t>Người nước ngoài</t>
  </si>
  <si>
    <t>Cơ quan Nhà nước, Tổ chức chính trị, tổ chức chính trị xã hội</t>
  </si>
  <si>
    <t>Bình thường</t>
  </si>
  <si>
    <t>Khuyết tật, mắc bệnh hiểm nghèo</t>
  </si>
  <si>
    <t>Sức khoẻ khác</t>
  </si>
  <si>
    <r>
      <t xml:space="preserve">Tổng số thù lao CC, chi phí khác thu được
</t>
    </r>
    <r>
      <rPr>
        <i/>
        <sz val="10"/>
        <rFont val="Times New Roman"/>
        <family val="1"/>
      </rPr>
      <t>(Nghìn đồng)</t>
    </r>
  </si>
  <si>
    <r>
      <t xml:space="preserve">Tổng số tiền nộp vào ngân sách Nhà nước hoặc nộp thuế </t>
    </r>
    <r>
      <rPr>
        <i/>
        <sz val="10"/>
        <rFont val="Times New Roman"/>
        <family val="1"/>
      </rPr>
      <t>(Nghìn đồng)</t>
    </r>
  </si>
  <si>
    <t>Trong đó: Nộp ngân sách</t>
  </si>
  <si>
    <t>Số Giám định viên tư pháp</t>
  </si>
  <si>
    <t>Số người giám định tư pháp theo vụ việc</t>
  </si>
  <si>
    <t>Theo yêu cầu của cơ quan tiến hành tố tụng</t>
  </si>
  <si>
    <t>Theo yêu cầu của cá nhân, tổ chức</t>
  </si>
  <si>
    <t>Số đơn thụ lý</t>
  </si>
  <si>
    <t>Số đơn đã giải quyết</t>
  </si>
  <si>
    <t>Số văn bản quy phạm pháp luật do Bộ, Ngành chủ trì soạn thảo được ban hành</t>
  </si>
  <si>
    <t>Số văn bản quy phạm pháp luật do tổ chức pháp chế Bộ (Ngành) thẩm định</t>
  </si>
  <si>
    <t>Số VB đã tự kiểm tra</t>
  </si>
  <si>
    <t>Số VB phát hiện trái pháp luật</t>
  </si>
  <si>
    <t>Trong đó:  Số VB trái pháp luật về nội dung</t>
  </si>
  <si>
    <t>Số VB đã tiếp nhận để kiểm tra theo thẩm quyền</t>
  </si>
  <si>
    <t>A</t>
  </si>
  <si>
    <t>Số VBQPPL do cơ quan tư pháp thẩm định</t>
  </si>
  <si>
    <t>Số VBQPPL do Phòng Tư pháp thẩm định</t>
  </si>
  <si>
    <t>Số VBQPPL do Sở Tư pháp thẩm định</t>
  </si>
  <si>
    <t>Chia ra</t>
  </si>
  <si>
    <t>Đơn vị tính: Văn bản</t>
  </si>
  <si>
    <r>
      <t xml:space="preserve">Số lượng tài liệu TTPL được phát hành miễn phí </t>
    </r>
    <r>
      <rPr>
        <i/>
        <sz val="10"/>
        <rFont val="Times New Roman"/>
        <family val="1"/>
      </rPr>
      <t>(Bản)</t>
    </r>
  </si>
  <si>
    <r>
      <t xml:space="preserve">Số lượng báo cáo viên, TT viên pháp luật </t>
    </r>
    <r>
      <rPr>
        <i/>
        <sz val="10"/>
        <rFont val="Times New Roman"/>
        <family val="1"/>
      </rPr>
      <t>(Người)</t>
    </r>
  </si>
  <si>
    <r>
      <t xml:space="preserve">Số vụ việc tiếp nhận hòa giải </t>
    </r>
    <r>
      <rPr>
        <i/>
        <sz val="10"/>
        <rFont val="Times New Roman"/>
        <family val="1"/>
      </rPr>
      <t>(Vụ việc)</t>
    </r>
  </si>
  <si>
    <r>
      <t xml:space="preserve">Số vụ việc hòa giải thành </t>
    </r>
    <r>
      <rPr>
        <i/>
        <sz val="10"/>
        <rFont val="Times New Roman"/>
        <family val="1"/>
      </rPr>
      <t>(Vụ việc)</t>
    </r>
  </si>
  <si>
    <r>
      <t>Số cuộc TT</t>
    </r>
    <r>
      <rPr>
        <i/>
        <sz val="10"/>
        <rFont val="Times New Roman"/>
        <family val="1"/>
      </rPr>
      <t xml:space="preserve"> (Cuộc)</t>
    </r>
  </si>
  <si>
    <r>
      <t xml:space="preserve">Số lượt người được TT </t>
    </r>
    <r>
      <rPr>
        <i/>
        <sz val="10"/>
        <rFont val="Times New Roman"/>
        <family val="1"/>
      </rPr>
      <t>(Lượt người)</t>
    </r>
  </si>
  <si>
    <r>
      <t xml:space="preserve">Số lượng tủ sách </t>
    </r>
    <r>
      <rPr>
        <i/>
        <sz val="10"/>
        <rFont val="Times New Roman"/>
        <family val="1"/>
      </rPr>
      <t>(Tủ sách)</t>
    </r>
  </si>
  <si>
    <r>
      <t xml:space="preserve">Số lượt người đọc, mượn </t>
    </r>
    <r>
      <rPr>
        <i/>
        <sz val="10"/>
        <rFont val="Times New Roman"/>
        <family val="1"/>
      </rPr>
      <t>(Lượt người)</t>
    </r>
  </si>
  <si>
    <t>TỔNG SỐ</t>
  </si>
  <si>
    <t>cấp xã</t>
  </si>
  <si>
    <t>cấp huyện</t>
  </si>
  <si>
    <t>cấp tỉnh</t>
  </si>
  <si>
    <t xml:space="preserve">Trong đó: Số VBQPPL do STP được giao chủ trì xây dựng </t>
  </si>
  <si>
    <t>Hình thức tuyên truyền pháp luật (TTPL)</t>
  </si>
  <si>
    <r>
      <t xml:space="preserve">Tổng số lệ phí chứng thực thu được  </t>
    </r>
    <r>
      <rPr>
        <i/>
        <sz val="10"/>
        <rFont val="Times New Roman"/>
        <family val="1"/>
      </rPr>
      <t>(Triệu đồng)</t>
    </r>
  </si>
  <si>
    <r>
      <t xml:space="preserve">Số đăng ký khai sinh </t>
    </r>
    <r>
      <rPr>
        <i/>
        <sz val="10"/>
        <rFont val="Times New Roman"/>
        <family val="1"/>
      </rPr>
      <t xml:space="preserve">(Trường hợp) </t>
    </r>
  </si>
  <si>
    <r>
      <t xml:space="preserve">Số đăng ký khai tử </t>
    </r>
    <r>
      <rPr>
        <i/>
        <sz val="10"/>
        <rFont val="Times New Roman"/>
        <family val="1"/>
      </rPr>
      <t xml:space="preserve">(Trường hợp) </t>
    </r>
  </si>
  <si>
    <t>Số trường hợp ghi chú kết hôn (cặp)</t>
  </si>
  <si>
    <t>Số đăng ký nuôi con nuôi trong nước</t>
  </si>
  <si>
    <t>Số đăng ký nuôi con nuôi có yếu tố nước ngoài</t>
  </si>
  <si>
    <t>Chia theo tình trạng sức khoẻ của trẻ em</t>
  </si>
  <si>
    <r>
      <t xml:space="preserve">CON NUÔI </t>
    </r>
    <r>
      <rPr>
        <i/>
        <sz val="10"/>
        <rFont val="Times New Roman"/>
        <family val="1"/>
      </rPr>
      <t>(Người)</t>
    </r>
  </si>
  <si>
    <t>Số cuộc kết hôn (Cặp)</t>
  </si>
  <si>
    <t>Chia theo đối tượng có LLTP</t>
  </si>
  <si>
    <t>Biểu mẫu số 4</t>
  </si>
  <si>
    <t>Biểu mẫu số 5</t>
  </si>
  <si>
    <r>
      <t xml:space="preserve">Số tổ chức hành nghề công chứng </t>
    </r>
    <r>
      <rPr>
        <i/>
        <sz val="10"/>
        <rFont val="Times New Roman"/>
        <family val="1"/>
      </rPr>
      <t xml:space="preserve">(Tổ chức) </t>
    </r>
  </si>
  <si>
    <r>
      <t xml:space="preserve">Số công chứng viên </t>
    </r>
    <r>
      <rPr>
        <i/>
        <sz val="10"/>
        <rFont val="Times New Roman"/>
        <family val="1"/>
      </rPr>
      <t>(Người)</t>
    </r>
  </si>
  <si>
    <r>
      <t xml:space="preserve">Số lượng việc công chứng  </t>
    </r>
    <r>
      <rPr>
        <i/>
        <sz val="10"/>
        <rFont val="Times New Roman"/>
        <family val="1"/>
      </rPr>
      <t>(Việc)</t>
    </r>
  </si>
  <si>
    <t>Công chứng giao dịch khác</t>
  </si>
  <si>
    <t>Công chứng hợp đồng</t>
  </si>
  <si>
    <r>
      <t>Tổng số phí CC thu được</t>
    </r>
    <r>
      <rPr>
        <sz val="10"/>
        <rFont val="Times New Roman"/>
        <family val="1"/>
      </rPr>
      <t xml:space="preserve"> </t>
    </r>
    <r>
      <rPr>
        <i/>
        <sz val="10"/>
        <rFont val="Times New Roman"/>
        <family val="1"/>
      </rPr>
      <t>(Nghìn đồng)</t>
    </r>
  </si>
  <si>
    <t>Trong đó</t>
  </si>
  <si>
    <t>Số việc tham gia tố tụng</t>
  </si>
  <si>
    <t>Số việc tư vấn pháp luật</t>
  </si>
  <si>
    <t>Trong đó: Nộp thuế</t>
  </si>
  <si>
    <t>Biểu mẫu số 6</t>
  </si>
  <si>
    <t>Trong đó: Số hợp đồng BĐG thành</t>
  </si>
  <si>
    <t>Trong đó: Số cuộc BĐG thành</t>
  </si>
  <si>
    <r>
      <t>Số người giám định</t>
    </r>
    <r>
      <rPr>
        <i/>
        <sz val="10"/>
        <rFont val="Times New Roman"/>
        <family val="1"/>
      </rPr>
      <t xml:space="preserve"> (Người)</t>
    </r>
  </si>
  <si>
    <r>
      <t xml:space="preserve">Số vụ việc đã thực hiện giám định </t>
    </r>
    <r>
      <rPr>
        <i/>
        <sz val="10"/>
        <rFont val="Times New Roman"/>
        <family val="1"/>
      </rPr>
      <t>(Vụ việc)</t>
    </r>
  </si>
  <si>
    <t>I. Tại các Bộ, Ngành ở Trung ương</t>
  </si>
  <si>
    <t>Biểu mẫu số 8</t>
  </si>
  <si>
    <t>Biểu mẫu số 7</t>
  </si>
  <si>
    <t xml:space="preserve">Cung cấp thông tin </t>
  </si>
  <si>
    <t>I. Tại các Trung tâm đăng ký giao dịch, tài sản của Cục ĐKQGGDBĐ</t>
  </si>
  <si>
    <t xml:space="preserve">II. Tại Bộ Giao thông vận tải </t>
  </si>
  <si>
    <t>-</t>
  </si>
  <si>
    <t>III. Tại địa bàn tỉnh/thành phố</t>
  </si>
  <si>
    <t>II. Tại địa bàn cả nước</t>
  </si>
  <si>
    <t xml:space="preserve">Tổng số tại các địa phương </t>
  </si>
  <si>
    <t>Tổng số tại địa bàn cả nước</t>
  </si>
  <si>
    <t>II. Tại các địa phương</t>
  </si>
  <si>
    <t xml:space="preserve">VBQPPL trái pháp luật </t>
  </si>
  <si>
    <t xml:space="preserve">VB không phải là VBQPPL nhưng có chứa QPPL </t>
  </si>
  <si>
    <t xml:space="preserve">Số văn bản quy phạm pháp luật (VBQPPL) của HĐND và UBND các cấp được ban hành </t>
  </si>
  <si>
    <t xml:space="preserve">Số bản sao đã chứng thực (Bản sao) </t>
  </si>
  <si>
    <r>
      <t xml:space="preserve">Số chữ ký đã chứng thực </t>
    </r>
    <r>
      <rPr>
        <i/>
        <sz val="10"/>
        <rFont val="Times New Roman"/>
        <family val="1"/>
      </rPr>
      <t xml:space="preserve">(Chữ ký) </t>
    </r>
  </si>
  <si>
    <t xml:space="preserve">Trong đó: Nữ là công dân Việt Nam </t>
  </si>
  <si>
    <t>Chia theo đối tượng yêu cầu cấp</t>
  </si>
  <si>
    <t>Chia theo nội dung xác nhận</t>
  </si>
  <si>
    <t>Tổng số có án tích</t>
  </si>
  <si>
    <t>Tổng số không có án tích</t>
  </si>
  <si>
    <t>Cơ quan tiến hành tố tụng</t>
  </si>
  <si>
    <t>Tổng số đã bị kết án</t>
  </si>
  <si>
    <t>Tổng số không bị kết án</t>
  </si>
  <si>
    <r>
      <t xml:space="preserve">Số người có LLTP </t>
    </r>
    <r>
      <rPr>
        <i/>
        <sz val="10"/>
        <rFont val="Arial"/>
        <family val="2"/>
      </rPr>
      <t>(Người)</t>
    </r>
  </si>
  <si>
    <r>
      <t xml:space="preserve">Số Phiếu LLTP số 1 đã cấp </t>
    </r>
    <r>
      <rPr>
        <i/>
        <sz val="11"/>
        <rFont val="Times New Roman"/>
        <family val="1"/>
      </rPr>
      <t>(Phiếu)</t>
    </r>
  </si>
  <si>
    <r>
      <t xml:space="preserve">Số Phiếu LLTP số 2 đã cấp </t>
    </r>
    <r>
      <rPr>
        <i/>
        <sz val="11"/>
        <rFont val="Times New Roman"/>
        <family val="1"/>
      </rPr>
      <t>(Phiếu)</t>
    </r>
  </si>
  <si>
    <t>Biểu mẫu số 9</t>
  </si>
  <si>
    <t>Số việc yêu cầu bồi thường (Vụ việc)</t>
  </si>
  <si>
    <t>Số tiền phải bồi thường cho người bị thiệt hại (Nghìn đồng)</t>
  </si>
  <si>
    <t>Chia theo loại quyết định hành chính, hành vi hành chính</t>
  </si>
  <si>
    <t>Cá nhân</t>
  </si>
  <si>
    <t>Tổ chức</t>
  </si>
  <si>
    <t>Giấy chứng nhận đăng ký kinh doanh, Giấy chứng nhận đầu tư, Giấy phép và các giấy tờ có giá trị như giấy phép</t>
  </si>
  <si>
    <t>Đất đai</t>
  </si>
  <si>
    <t>Khác</t>
  </si>
  <si>
    <t>Chia theo đối tượng</t>
  </si>
  <si>
    <t>Tổng số thụ lý</t>
  </si>
  <si>
    <t>Trong đó: Đã giải quyết xong</t>
  </si>
  <si>
    <t>Cục Hàng không VN</t>
  </si>
  <si>
    <t>Cục hàng hải VN</t>
  </si>
  <si>
    <t>Quyết định của Thủ tướng Chính phủ</t>
  </si>
  <si>
    <t>HOÀ GIẢI  Ở CƠ SỞ</t>
  </si>
  <si>
    <t>Số tổ hòa giải
(Tổ)</t>
  </si>
  <si>
    <t>Số Tổ viên Tổ hòa giải (Người)</t>
  </si>
  <si>
    <t>Phòng công chứng</t>
  </si>
  <si>
    <t>Văn phòng công chứng</t>
  </si>
  <si>
    <t>Biểu mẫu số 10</t>
  </si>
  <si>
    <t>Số VBQPPL kiến nghị sau rà soát</t>
  </si>
  <si>
    <t>Còn hiệu lực</t>
  </si>
  <si>
    <t>Hết hiệu lực</t>
  </si>
  <si>
    <t>Kiến nghị sửa đổi, bổ sung, thay thế, bãi bỏ</t>
  </si>
  <si>
    <t>Kiến nghị ban hành mới</t>
  </si>
  <si>
    <t>Số văn bản quy phạm pháp luật (VBQPPL) đã được rà soát</t>
  </si>
  <si>
    <t>LUẬT SƯ</t>
  </si>
  <si>
    <t>Biểu mẫu số 1</t>
  </si>
  <si>
    <t xml:space="preserve">TỔNG HỢP SỐ LIỆU THỐNG KÊ VỀ HOẠT ĐỘNG XÂY DỰNG, THẨM ĐỊNH VĂN BẢN QUY PHẠM PHÁP LUẬT </t>
  </si>
  <si>
    <t xml:space="preserve">TỔNG HỢP SỐ LIỆU THỐNG KÊ VỀ HOẠT ĐỘNG PHỔ BIẾN, GIÁO DỤC PHÁP LUẬT VÀ HÒA GIẢI Ở CƠ SỞ </t>
  </si>
  <si>
    <t>TỔNG HỢP SỐ LIỆU THỐNG KÊ VỀ HOẠT ĐỘNG CHỨNG THỰC, HỘ TỊCH, QUỐC TỊCH</t>
  </si>
  <si>
    <t>TỔNG HỢP SỐ LIỆU THỐNG KÊ VỀ CÔNG TÁC LÝ LỊCH TƯ PHÁP</t>
  </si>
  <si>
    <t>TỔNG HỢP SỐ LIỆU THỐNG KÊ VỀ HOẠT ĐỘNG CÔNG CHỨNG</t>
  </si>
  <si>
    <t>TỔNG HỢP SỐ LIỆU THỐNG KÊ VỀ HOẠT ĐỘNG CỦA LUẬT SƯ VÀ HOẠT ĐỘNG BÁN ĐẤU GIÁ TÀI SẢN</t>
  </si>
  <si>
    <t xml:space="preserve">TỔNG HỢP SỐ LIỆU THỐNG KÊ VỀ HOẠT ĐỘNG ĐĂNG KÝ, CUNG CẤP THÔNG TIN VỀ GIAO DỊCH BẢO ĐẢM </t>
  </si>
  <si>
    <t>TỔNG HỢP SỐ LIỆU THỐNG KÊ VỀ HOẠT ĐỘNG GIẢI QUYẾT YÊU CẦU BỒI THƯỜNG NHÀ NƯỚC</t>
  </si>
  <si>
    <t xml:space="preserve">TỔNG HỢP SỐ LIỆU THỐNG KÊ VỀ HOẠT ĐỘNG GIÁM ĐỊNH TƯ PHÁP </t>
  </si>
  <si>
    <t xml:space="preserve">Số văn bản (VB) đã tự kiểm tra, xử lý </t>
  </si>
  <si>
    <t xml:space="preserve">Số văn bản (VB) đã được kiểm tra, xử lý theo thẩm quyền </t>
  </si>
  <si>
    <t>VB QPPL</t>
  </si>
  <si>
    <t xml:space="preserve">TỔNG HỢP SỐ LIỆU THỐNG KÊ VỀ HOẠT ĐỘNG RÀ SOÁT VĂN BẢN QUY PHẠM PHÁP LUẬT </t>
  </si>
  <si>
    <t xml:space="preserve">TỔNG HỢP SỐ LIỆU THỐNG KÊ VỀ HOẠT ĐỘNG KIỂM TRA VĂN BẢN QUY PHẠM PHÁP LUẬT </t>
  </si>
  <si>
    <t>Biểu mẫu số 2A</t>
  </si>
  <si>
    <t>Biểu mẫu số 2B</t>
  </si>
  <si>
    <t>Tỷ lệ % hòa giải thành/ tổng số việc hòa giải</t>
  </si>
  <si>
    <t xml:space="preserve">QUỐC TỊCH </t>
  </si>
  <si>
    <t>Nước ngoài</t>
  </si>
  <si>
    <t>Pháp y</t>
  </si>
  <si>
    <t>Pháp y tâm thần</t>
  </si>
  <si>
    <t>Kỹ thuật hình sự</t>
  </si>
  <si>
    <t>Đăng ký giao dịch bảo đảm bằng tàu bay hoặc tàu biển</t>
  </si>
  <si>
    <t>Đăng ký giao dịch bảo đảm bằng quyền sử dụng đất, tài sản gắn liền với đất</t>
  </si>
  <si>
    <t>An Giang</t>
  </si>
  <si>
    <t>Bắc Giang</t>
  </si>
  <si>
    <t>Bắc Kạn</t>
  </si>
  <si>
    <t>Bạc Liêu</t>
  </si>
  <si>
    <t>Bắc Ninh</t>
  </si>
  <si>
    <t>Bến Tre</t>
  </si>
  <si>
    <t>Bình Định</t>
  </si>
  <si>
    <t>Bình Dương</t>
  </si>
  <si>
    <t>Bình Phước</t>
  </si>
  <si>
    <t>Bình Thuận</t>
  </si>
  <si>
    <t>Cà Mau</t>
  </si>
  <si>
    <t>Cần Thơ</t>
  </si>
  <si>
    <t>Cao Bằng</t>
  </si>
  <si>
    <t>Đà Nẵng</t>
  </si>
  <si>
    <t>Đắk Lắk</t>
  </si>
  <si>
    <t>Đắk Nông</t>
  </si>
  <si>
    <t>Điện Biên</t>
  </si>
  <si>
    <t>Bộ Tài chính</t>
  </si>
  <si>
    <t>Bộ Tài nguyên và Môi trường</t>
  </si>
  <si>
    <t>Bộ Thông tin và Truyền thông</t>
  </si>
  <si>
    <t xml:space="preserve">Bộ Văn hóa, Thể thao và Du lịch </t>
  </si>
  <si>
    <t xml:space="preserve">Bộ Xây dựng </t>
  </si>
  <si>
    <t xml:space="preserve">Ngân hàng Nhà nước Việt Nam </t>
  </si>
  <si>
    <t>Thanh tra Chính phủ</t>
  </si>
  <si>
    <t>Ủy ban Dân tộc</t>
  </si>
  <si>
    <t xml:space="preserve">Bộ Công thương </t>
  </si>
  <si>
    <t>Bộ Giáo dục và Đào tạo</t>
  </si>
  <si>
    <t>Bộ Giao thông Vận tải</t>
  </si>
  <si>
    <t>Bộ Kế hoạch và Đầu tư</t>
  </si>
  <si>
    <t>Bộ Khoa học và Công nghệ</t>
  </si>
  <si>
    <t>Bộ Lao động, Thương binh và Xã hội</t>
  </si>
  <si>
    <t xml:space="preserve">Bộ Ngoại giao </t>
  </si>
  <si>
    <t xml:space="preserve">Bộ Nội vụ </t>
  </si>
  <si>
    <t>Bộ Nông nghiệp và Phát triển Nông thôn</t>
  </si>
  <si>
    <t>Đồng Nai</t>
  </si>
  <si>
    <t>Đồng Tháp</t>
  </si>
  <si>
    <t>Gia Lai</t>
  </si>
  <si>
    <t>Hà Giang</t>
  </si>
  <si>
    <t>Hà Nam</t>
  </si>
  <si>
    <t>Hà Nội</t>
  </si>
  <si>
    <t>Hà Tĩnh</t>
  </si>
  <si>
    <t>Hải Dương</t>
  </si>
  <si>
    <t>Hải Phòng</t>
  </si>
  <si>
    <t>Hậu Giang</t>
  </si>
  <si>
    <t>Hoà Bình</t>
  </si>
  <si>
    <t>Hưng Yên</t>
  </si>
  <si>
    <t>Khánh Hoà</t>
  </si>
  <si>
    <t>Kiên Giang</t>
  </si>
  <si>
    <t>Kon Tum</t>
  </si>
  <si>
    <t>Lai Châu</t>
  </si>
  <si>
    <t>Lâm Đồng</t>
  </si>
  <si>
    <t>Lạng Sơn</t>
  </si>
  <si>
    <t>Lào Cai</t>
  </si>
  <si>
    <t>Long An</t>
  </si>
  <si>
    <t>Nam Định</t>
  </si>
  <si>
    <t>Nghệ An</t>
  </si>
  <si>
    <t xml:space="preserve">Ninh Bình </t>
  </si>
  <si>
    <t>Ninh Thuận</t>
  </si>
  <si>
    <t>Phú Thọ</t>
  </si>
  <si>
    <t>Phú Yên</t>
  </si>
  <si>
    <t>Bộ Y tế</t>
  </si>
  <si>
    <t>Bộ Công An</t>
  </si>
  <si>
    <t>Bộ Quốc phòng</t>
  </si>
  <si>
    <t>Bộ Quốc Phòng</t>
  </si>
  <si>
    <t>Viện Pháp y Quân đội</t>
  </si>
  <si>
    <t>Quảng Bình</t>
  </si>
  <si>
    <t>Quảng Nam</t>
  </si>
  <si>
    <t>Quảng Ngãi</t>
  </si>
  <si>
    <t>Quảng Ninh</t>
  </si>
  <si>
    <t>Quảng Trị</t>
  </si>
  <si>
    <t>Sóc Trăng</t>
  </si>
  <si>
    <t>Sơn La</t>
  </si>
  <si>
    <t>Tây Ninh</t>
  </si>
  <si>
    <t>Thái Bình</t>
  </si>
  <si>
    <t>Thái Nguyên</t>
  </si>
  <si>
    <t>Thanh Hoá</t>
  </si>
  <si>
    <t>Thừa Thiên Huế</t>
  </si>
  <si>
    <t>Tiền Giang</t>
  </si>
  <si>
    <t>TP.Hồ Chí Minh</t>
  </si>
  <si>
    <t>Trà Vinh</t>
  </si>
  <si>
    <t>Tuyên Quang</t>
  </si>
  <si>
    <t>Vĩnh Long</t>
  </si>
  <si>
    <t>Vĩnh Phúc</t>
  </si>
  <si>
    <t>Yên Bái</t>
  </si>
  <si>
    <t>Pháp lệnh, Nghị quyết của UB TVQH</t>
  </si>
  <si>
    <t>Bà Rịa - V. Tàu</t>
  </si>
  <si>
    <t>Ghi chú:</t>
  </si>
  <si>
    <t>Trung tâm ĐKGDTS tại HN</t>
  </si>
  <si>
    <t>Trung tâm ĐKGDTS tại TP.HCM</t>
  </si>
  <si>
    <t>Trung tâm ĐKGDTS tại Đà Nẵng</t>
  </si>
  <si>
    <t xml:space="preserve">Đơn vị chưa gửi báo cáo thống kê </t>
  </si>
  <si>
    <t>Ủy ban dân tộc</t>
  </si>
  <si>
    <t>I. Tại các cơ quan ở Trung ương</t>
  </si>
  <si>
    <t>Viện Pháp y Quốc gia  - Bộ Y tế</t>
  </si>
  <si>
    <t>Viện GĐ pháp y Tâm thần TW  - Bộ Y tế</t>
  </si>
  <si>
    <t>Phòng giám định Kĩ thuật hình sự- Bộ Quốc phòng</t>
  </si>
  <si>
    <t>Viện khoa học hình sự - Bộ công an</t>
  </si>
  <si>
    <t>Bộ Công an</t>
  </si>
  <si>
    <r>
      <t xml:space="preserve">Số người đăng ký giữ quốc tịch Việt Nam  </t>
    </r>
    <r>
      <rPr>
        <sz val="8"/>
        <rFont val="Times New Roman"/>
        <family val="1"/>
      </rPr>
      <t>(Người)</t>
    </r>
  </si>
  <si>
    <r>
      <t xml:space="preserve">Số người thông báo có quốc tịch nước ngoài </t>
    </r>
    <r>
      <rPr>
        <sz val="7"/>
        <rFont val="Times New Roman"/>
        <family val="1"/>
      </rPr>
      <t>(Người)</t>
    </r>
  </si>
  <si>
    <r>
      <t xml:space="preserve">Số tổ chức hành nghề LS  tại địa phương </t>
    </r>
    <r>
      <rPr>
        <i/>
        <sz val="9"/>
        <rFont val="Times New Roman"/>
        <family val="1"/>
      </rPr>
      <t>(Tổ chức)</t>
    </r>
  </si>
  <si>
    <r>
      <t xml:space="preserve">Số LS hành nghề tại địa phương </t>
    </r>
    <r>
      <rPr>
        <i/>
        <sz val="9"/>
        <rFont val="Times New Roman"/>
        <family val="1"/>
      </rPr>
      <t>(Người)</t>
    </r>
  </si>
  <si>
    <r>
      <t>Số việc thực hiện</t>
    </r>
    <r>
      <rPr>
        <i/>
        <sz val="9"/>
        <rFont val="Times New Roman"/>
        <family val="1"/>
      </rPr>
      <t xml:space="preserve"> (Việc)</t>
    </r>
  </si>
  <si>
    <r>
      <t xml:space="preserve">Số tổ chức được cấp phép hành nghề tại Việt Nam </t>
    </r>
    <r>
      <rPr>
        <i/>
        <sz val="9"/>
        <rFont val="Times New Roman"/>
        <family val="1"/>
      </rPr>
      <t>(Tổ chức)</t>
    </r>
  </si>
  <si>
    <r>
      <t xml:space="preserve">Số LS được cấp phép hành nghề tại Việt Nam </t>
    </r>
    <r>
      <rPr>
        <i/>
        <sz val="9"/>
        <rFont val="Times New Roman"/>
        <family val="1"/>
      </rPr>
      <t>(Người)</t>
    </r>
  </si>
  <si>
    <r>
      <t xml:space="preserve">Số tổ chức BĐG tài sản </t>
    </r>
    <r>
      <rPr>
        <i/>
        <sz val="9"/>
        <rFont val="Times New Roman"/>
        <family val="1"/>
      </rPr>
      <t>(Tổ chức</t>
    </r>
  </si>
  <si>
    <r>
      <t xml:space="preserve">Số hợp đồng đã ký </t>
    </r>
    <r>
      <rPr>
        <i/>
        <sz val="9"/>
        <rFont val="Times New Roman"/>
        <family val="1"/>
      </rPr>
      <t>(Hợp đồng)</t>
    </r>
  </si>
  <si>
    <r>
      <t>Số cuộc bán đấu giá đã thực hiện</t>
    </r>
    <r>
      <rPr>
        <b/>
        <i/>
        <sz val="9"/>
        <rFont val="Times New Roman"/>
        <family val="1"/>
      </rPr>
      <t xml:space="preserve"> </t>
    </r>
    <r>
      <rPr>
        <i/>
        <sz val="9"/>
        <rFont val="Times New Roman"/>
        <family val="1"/>
      </rPr>
      <t>(Cuộc)</t>
    </r>
  </si>
  <si>
    <r>
      <t xml:space="preserve">Số tiền thu được </t>
    </r>
    <r>
      <rPr>
        <i/>
        <sz val="9"/>
        <rFont val="Times New Roman"/>
        <family val="1"/>
      </rPr>
      <t>(Nghìn đồng)</t>
    </r>
  </si>
  <si>
    <r>
      <t xml:space="preserve">Số lượng Đấu giá viên </t>
    </r>
    <r>
      <rPr>
        <i/>
        <sz val="7"/>
        <rFont val="Times New Roman"/>
        <family val="1"/>
      </rPr>
      <t>(Người)</t>
    </r>
  </si>
  <si>
    <r>
      <t>Đăng ký giao dịch bảo đảm, hợp đồng, thông báo kê biên tài sản là động sản</t>
    </r>
    <r>
      <rPr>
        <sz val="10"/>
        <rFont val="Times New Roman"/>
        <family val="1"/>
      </rPr>
      <t xml:space="preserve"> (trừ tàu bay, tàu biển)</t>
    </r>
  </si>
  <si>
    <t xml:space="preserve"> </t>
  </si>
  <si>
    <t>tổng lệch chi tiết</t>
  </si>
  <si>
    <t>số liệu  có điểm bất hợp lý cần kiểm tra tính chính xác</t>
  </si>
  <si>
    <t xml:space="preserve">VB không phải là VB QPPL nhưng có chứa QPPL </t>
  </si>
  <si>
    <r>
      <t xml:space="preserve">Doanh thu </t>
    </r>
    <r>
      <rPr>
        <i/>
        <sz val="10"/>
        <rFont val="Times New Roman"/>
        <family val="1"/>
      </rPr>
      <t>(Nghìn đồng)</t>
    </r>
  </si>
  <si>
    <t xml:space="preserve">II. Tại các địa phương </t>
  </si>
  <si>
    <t xml:space="preserve">Địa phương đính chính số liệu bằng văn bản </t>
  </si>
  <si>
    <t>Địa phương báo điều chỉnh số liệu qua điện thoại, email</t>
  </si>
  <si>
    <t>Trung tâm ko nộp thuế, tính cả giá bán</t>
  </si>
  <si>
    <t>Số liệu theo các đơn vị chuyên môn thuộc Bộ</t>
  </si>
  <si>
    <t xml:space="preserve">Bộ Tư pháp </t>
  </si>
  <si>
    <t>Ô để trống</t>
  </si>
  <si>
    <t>Đơn vị chưa gửi báo cáo hoặc đã gửi báo cáo nhưng để trống ô số liệu</t>
  </si>
  <si>
    <t>VB không phải là VB QPPL</t>
  </si>
  <si>
    <t xml:space="preserve">                                 </t>
  </si>
  <si>
    <t>Cột 1, 2, 3 trích xuất số liệu từ biểu 10b (đơn vị gửi nhầm biểu)</t>
  </si>
  <si>
    <t>Cột 3 (cột 8 biểu 10c) không rõ đơn vị tính</t>
  </si>
  <si>
    <r>
      <t>Năm 2013</t>
    </r>
    <r>
      <rPr>
        <i/>
        <sz val="14"/>
        <color indexed="8"/>
        <rFont val="Times New Roman"/>
        <family val="1"/>
      </rPr>
      <t xml:space="preserve"> (từ 01/10/2012 đến 30/9/2013)</t>
    </r>
  </si>
  <si>
    <r>
      <t xml:space="preserve">Năm 2013 </t>
    </r>
    <r>
      <rPr>
        <sz val="14"/>
        <color indexed="8"/>
        <rFont val="Times New Roman"/>
        <family val="1"/>
      </rPr>
      <t>(từ 01/10/2012 đến 30/9/2013)</t>
    </r>
  </si>
  <si>
    <r>
      <t xml:space="preserve">Năm 2013 </t>
    </r>
    <r>
      <rPr>
        <sz val="14"/>
        <rFont val="Times New Roman"/>
        <family val="1"/>
      </rPr>
      <t>(từ 01/10/2012 đến 30/9/2013)</t>
    </r>
  </si>
  <si>
    <t>Cột 3: hết hiệu lực toàn bộ: 166, hết hiệu lực 1 phần: 53</t>
  </si>
  <si>
    <t>Không đúng mẫu</t>
  </si>
  <si>
    <t>Hà Nội, Hải Dương, Lào Cai: báo cáo số liệu về lệ phí chứng thực chưa rõ đơn vị tính.</t>
  </si>
  <si>
    <t>email</t>
  </si>
  <si>
    <t>Hà Nội: Tổng số vụ việc thuộc lĩnh vực luật sư: 62.216 vụ việc được cộng từ các cột thống kê chi tiết trong báo cáo của Hà Nội (trong báo cáo của Hà Nội, cột tống số vụ việc chỉ là 870 vụ việc)</t>
  </si>
  <si>
    <t>Thành phố Hồ Chí Minh: theo số liệu báo cáo của 806/1.395 tổ chức hành nghề luật sư và 1/31 luật sư hành nghề với tư cách cá nhân)</t>
  </si>
  <si>
    <t>Bình Phước: Tổng số việc công chứng: 47.214 việc là số được cộng từ số liệu chi tiết trong báo cáo của địa phương (địa phương báo 46.214, thiếu 1.000 việc)</t>
  </si>
  <si>
    <t>Hà Nội, Vĩnh Phúc: báo cáo thiếu số liệu thống kê chi tiết về số việc công chứng</t>
  </si>
  <si>
    <t>Nghệ An: năm 2013, số trường hợp đăng ký khai sinh tăng 3,5 lần, khai tử tăng 3 lần, kết hôn tăng 2,5 lần so với năm 2012</t>
  </si>
  <si>
    <t>Bắc Giang: Năm 2013, số tủ sách pháp luật cấp xã tăng gấp gần 10 lần năm 2012</t>
  </si>
  <si>
    <t>Đăk Lăk: Năm 2013, số tủ sách pháp luật ở cơ quan, đơn vị tăng khoảng 12 lần năm 2013</t>
  </si>
  <si>
    <t>Hà Giang: Năm 2013, số tủ sách pháp luật cấp xã  giảm hơn 10 lần năm 2012</t>
  </si>
  <si>
    <t>(Số liệu cập nhật đến ngày 16/12/2013)</t>
  </si>
  <si>
    <t>Hưng Yên: báo cáo sai thể thức</t>
  </si>
  <si>
    <t>Ô có dấu "-": Không có số liệu phát sinh</t>
  </si>
  <si>
    <t xml:space="preserve">Nghệ An: </t>
  </si>
  <si>
    <r>
      <t xml:space="preserve">6 tháng năm 2013 </t>
    </r>
    <r>
      <rPr>
        <sz val="14"/>
        <rFont val="Times New Roman"/>
        <family val="1"/>
      </rPr>
      <t>(từ 01/10/2012 đến 30/9/2013)</t>
    </r>
  </si>
</sst>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Red]0"/>
    <numFmt numFmtId="181" formatCode="_(* #,##0_);_(* \(#,##0\);_(* &quot;-&quot;??_);_(@_)"/>
    <numFmt numFmtId="182" formatCode="#,##0.0_);\(#,##0.0\)"/>
    <numFmt numFmtId="183" formatCode="0.0000"/>
    <numFmt numFmtId="184" formatCode="0.00000"/>
    <numFmt numFmtId="185" formatCode="\(0\)"/>
    <numFmt numFmtId="186" formatCode="&quot;Yes&quot;;&quot;Yes&quot;;&quot;No&quot;"/>
    <numFmt numFmtId="187" formatCode="&quot;True&quot;;&quot;True&quot;;&quot;False&quot;"/>
    <numFmt numFmtId="188" formatCode="&quot;On&quot;;&quot;On&quot;;&quot;Off&quot;"/>
    <numFmt numFmtId="189" formatCode="[$€-2]\ #,##0.00_);[Red]\([$€-2]\ #,##0.00\)"/>
    <numFmt numFmtId="190" formatCode="000\-00\-0000"/>
    <numFmt numFmtId="191" formatCode="_(* #,##0.0_);_(* \(#,##0.0\);_(* &quot;-&quot;??_);_(@_)"/>
    <numFmt numFmtId="192" formatCode="_(* #,##0.000_);_(* \(#,##0.000\);_(* &quot;-&quot;??_);_(@_)"/>
    <numFmt numFmtId="193" formatCode="_(* #,##0.000000_);_(* \(#,##0.000000\);_(* &quot;-&quot;??_);_(@_)"/>
    <numFmt numFmtId="194" formatCode="0.000"/>
    <numFmt numFmtId="195" formatCode="#,##0.0"/>
    <numFmt numFmtId="196" formatCode="_(* #,##0.0000_);_(* \(#,##0.0000\);_(* &quot;-&quot;??_);_(@_)"/>
    <numFmt numFmtId="197" formatCode="&quot;$&quot;#,##0.00"/>
    <numFmt numFmtId="198" formatCode="_(* #.##0.0_);_(* \(#.##0.0\);_(* &quot;-&quot;??_);_(@_)"/>
    <numFmt numFmtId="199" formatCode="_(* #.##0._);_(* \(#.##0.\);_(* &quot;-&quot;??_);_(@_)"/>
    <numFmt numFmtId="200" formatCode="_(* #.##._);_(* \(#.##.\);_(* &quot;-&quot;??_);_(@_ⴆ"/>
    <numFmt numFmtId="201" formatCode="_(* #.#._);_(* \(#.#.\);_(* &quot;-&quot;??_);_(@_ⴆ"/>
    <numFmt numFmtId="202" formatCode="_(* #.;_(* \(#.;_(* &quot;-&quot;??_);_(@_ⴆ"/>
    <numFmt numFmtId="203" formatCode="_(* #.##0_);_(* \(#.##0\);_(* &quot;-&quot;??_);_(@_)"/>
    <numFmt numFmtId="204" formatCode="_(* #.##_);_(* \(#.##\);_(* &quot;-&quot;??_);_(@_)"/>
    <numFmt numFmtId="205" formatCode="_(* #.#_);_(* \(#.#\);_(* &quot;-&quot;??_);_(@_)"/>
    <numFmt numFmtId="206" formatCode="[$-409]dddd\,\ mmmm\ dd\,\ yyyy"/>
    <numFmt numFmtId="207" formatCode="[$-409]h:mm:ss\ AM/PM"/>
    <numFmt numFmtId="208" formatCode="00000"/>
    <numFmt numFmtId="209" formatCode="#.##0"/>
  </numFmts>
  <fonts count="97">
    <font>
      <sz val="10"/>
      <name val="Arial"/>
      <family val="0"/>
    </font>
    <font>
      <sz val="11"/>
      <color indexed="8"/>
      <name val="Calibri"/>
      <family val="2"/>
    </font>
    <font>
      <sz val="9"/>
      <color indexed="8"/>
      <name val="Arial"/>
      <family val="2"/>
    </font>
    <font>
      <sz val="10"/>
      <color indexed="8"/>
      <name val="Arial"/>
      <family val="2"/>
    </font>
    <font>
      <b/>
      <sz val="13"/>
      <color indexed="8"/>
      <name val="Times New Roman"/>
      <family val="1"/>
    </font>
    <font>
      <i/>
      <sz val="12"/>
      <color indexed="8"/>
      <name val="Times New Roman"/>
      <family val="1"/>
    </font>
    <font>
      <b/>
      <i/>
      <sz val="8"/>
      <name val="Arial"/>
      <family val="2"/>
    </font>
    <font>
      <sz val="12"/>
      <name val="Times New Roman"/>
      <family val="1"/>
    </font>
    <font>
      <sz val="10"/>
      <color indexed="10"/>
      <name val="Arial"/>
      <family val="2"/>
    </font>
    <font>
      <sz val="10"/>
      <color indexed="12"/>
      <name val="Arial"/>
      <family val="2"/>
    </font>
    <font>
      <b/>
      <sz val="10"/>
      <name val="Arial"/>
      <family val="2"/>
    </font>
    <font>
      <sz val="8"/>
      <name val="Arial"/>
      <family val="2"/>
    </font>
    <font>
      <b/>
      <i/>
      <sz val="8"/>
      <color indexed="8"/>
      <name val="Arial"/>
      <family val="2"/>
    </font>
    <font>
      <b/>
      <sz val="13"/>
      <name val="Arial"/>
      <family val="2"/>
    </font>
    <font>
      <b/>
      <sz val="12"/>
      <name val="Times New Roman"/>
      <family val="1"/>
    </font>
    <font>
      <sz val="10"/>
      <name val="Times New Roman"/>
      <family val="1"/>
    </font>
    <font>
      <sz val="14"/>
      <name val="Arial"/>
      <family val="2"/>
    </font>
    <font>
      <b/>
      <sz val="14"/>
      <color indexed="8"/>
      <name val="Times New Roman"/>
      <family val="1"/>
    </font>
    <font>
      <i/>
      <sz val="14"/>
      <color indexed="8"/>
      <name val="Times New Roman"/>
      <family val="1"/>
    </font>
    <font>
      <b/>
      <sz val="14"/>
      <name val="Times New Roman"/>
      <family val="1"/>
    </font>
    <font>
      <b/>
      <sz val="13"/>
      <name val="Times New Roman"/>
      <family val="1"/>
    </font>
    <font>
      <i/>
      <sz val="14"/>
      <name val="Times New Roman"/>
      <family val="1"/>
    </font>
    <font>
      <sz val="12"/>
      <color indexed="8"/>
      <name val="Times New Roman"/>
      <family val="1"/>
    </font>
    <font>
      <sz val="12"/>
      <color indexed="8"/>
      <name val="Arial"/>
      <family val="2"/>
    </font>
    <font>
      <sz val="12"/>
      <name val="Arial"/>
      <family val="2"/>
    </font>
    <font>
      <b/>
      <sz val="12"/>
      <color indexed="8"/>
      <name val="Times New Roman"/>
      <family val="1"/>
    </font>
    <font>
      <i/>
      <sz val="12"/>
      <color indexed="8"/>
      <name val="Arial"/>
      <family val="2"/>
    </font>
    <font>
      <sz val="11"/>
      <name val="Times New Roman"/>
      <family val="1"/>
    </font>
    <font>
      <i/>
      <sz val="12"/>
      <name val="Times New Roman"/>
      <family val="1"/>
    </font>
    <font>
      <b/>
      <sz val="10"/>
      <name val="Times New Roman"/>
      <family val="1"/>
    </font>
    <font>
      <i/>
      <sz val="10"/>
      <name val="Times New Roman"/>
      <family val="1"/>
    </font>
    <font>
      <sz val="14"/>
      <color indexed="8"/>
      <name val="Arial"/>
      <family val="2"/>
    </font>
    <font>
      <sz val="14"/>
      <name val="Times New Roman"/>
      <family val="1"/>
    </font>
    <font>
      <sz val="12"/>
      <color indexed="10"/>
      <name val="Times New Roman"/>
      <family val="1"/>
    </font>
    <font>
      <b/>
      <i/>
      <sz val="10"/>
      <name val="Times New Roman"/>
      <family val="1"/>
    </font>
    <font>
      <b/>
      <sz val="10"/>
      <color indexed="8"/>
      <name val="Times New Roman"/>
      <family val="1"/>
    </font>
    <font>
      <i/>
      <sz val="10"/>
      <color indexed="8"/>
      <name val="Times New Roman"/>
      <family val="1"/>
    </font>
    <font>
      <u val="single"/>
      <sz val="10"/>
      <color indexed="12"/>
      <name val="Arial"/>
      <family val="0"/>
    </font>
    <font>
      <u val="single"/>
      <sz val="10"/>
      <color indexed="36"/>
      <name val="Arial"/>
      <family val="0"/>
    </font>
    <font>
      <sz val="10"/>
      <color indexed="8"/>
      <name val="Times New Roman"/>
      <family val="1"/>
    </font>
    <font>
      <sz val="13"/>
      <name val="Times New Roman"/>
      <family val="1"/>
    </font>
    <font>
      <b/>
      <sz val="11"/>
      <name val="Times New Roman"/>
      <family val="1"/>
    </font>
    <font>
      <i/>
      <sz val="10"/>
      <name val="Arial"/>
      <family val="2"/>
    </font>
    <font>
      <i/>
      <sz val="11"/>
      <name val="Times New Roman"/>
      <family val="1"/>
    </font>
    <font>
      <sz val="9"/>
      <name val="Times New Roman"/>
      <family val="1"/>
    </font>
    <font>
      <sz val="13"/>
      <name val="Arial"/>
      <family val="2"/>
    </font>
    <font>
      <b/>
      <i/>
      <sz val="12"/>
      <name val="Times New Roman"/>
      <family val="1"/>
    </font>
    <font>
      <sz val="12"/>
      <color indexed="12"/>
      <name val="Times New Roman"/>
      <family val="1"/>
    </font>
    <font>
      <sz val="10"/>
      <color indexed="10"/>
      <name val="Times New Roman"/>
      <family val="1"/>
    </font>
    <font>
      <sz val="11"/>
      <name val="Arial"/>
      <family val="2"/>
    </font>
    <font>
      <sz val="11"/>
      <color indexed="8"/>
      <name val="Arial"/>
      <family val="2"/>
    </font>
    <font>
      <sz val="8"/>
      <name val="Times New Roman"/>
      <family val="1"/>
    </font>
    <font>
      <sz val="7"/>
      <name val="Times New Roman"/>
      <family val="1"/>
    </font>
    <font>
      <b/>
      <sz val="9"/>
      <name val="Times New Roman"/>
      <family val="1"/>
    </font>
    <font>
      <i/>
      <sz val="9"/>
      <name val="Times New Roman"/>
      <family val="1"/>
    </font>
    <font>
      <b/>
      <i/>
      <sz val="9"/>
      <name val="Times New Roman"/>
      <family val="1"/>
    </font>
    <font>
      <i/>
      <sz val="7"/>
      <name val="Times New Roman"/>
      <family val="1"/>
    </font>
    <font>
      <b/>
      <i/>
      <sz val="11"/>
      <name val="Times New Roman"/>
      <family val="1"/>
    </font>
    <font>
      <sz val="14"/>
      <color indexed="8"/>
      <name val="Times New Roman"/>
      <family val="1"/>
    </font>
    <font>
      <b/>
      <sz val="8"/>
      <name val="Times New Roman"/>
      <family val="1"/>
    </font>
    <font>
      <b/>
      <i/>
      <sz val="8"/>
      <name val="Times New Roman"/>
      <family val="1"/>
    </font>
    <font>
      <sz val="7"/>
      <name val="Arial"/>
      <family val="0"/>
    </font>
    <font>
      <sz val="7"/>
      <color indexed="8"/>
      <name val="Times New Roman"/>
      <family val="1"/>
    </font>
    <font>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indexed="10"/>
        <bgColor indexed="64"/>
      </patternFill>
    </fill>
    <fill>
      <patternFill patternType="solid">
        <fgColor indexed="11"/>
        <bgColor indexed="64"/>
      </patternFill>
    </fill>
    <fill>
      <patternFill patternType="solid">
        <fgColor indexed="40"/>
        <bgColor indexed="64"/>
      </patternFill>
    </fill>
    <fill>
      <patternFill patternType="solid">
        <fgColor indexed="4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0" applyNumberFormat="0" applyFill="0" applyBorder="0" applyAlignment="0" applyProtection="0"/>
    <xf numFmtId="0" fontId="38"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37"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566">
    <xf numFmtId="0" fontId="0" fillId="0" borderId="0" xfId="0" applyAlignment="1">
      <alignment/>
    </xf>
    <xf numFmtId="0" fontId="3" fillId="0" borderId="0" xfId="0" applyFont="1" applyFill="1" applyAlignment="1">
      <alignment/>
    </xf>
    <xf numFmtId="0" fontId="3" fillId="33" borderId="0" xfId="0" applyFont="1" applyFill="1" applyAlignment="1">
      <alignment/>
    </xf>
    <xf numFmtId="0" fontId="3" fillId="0" borderId="0" xfId="0" applyFont="1" applyAlignment="1">
      <alignment/>
    </xf>
    <xf numFmtId="0" fontId="5" fillId="0" borderId="0" xfId="0" applyFont="1" applyFill="1" applyAlignment="1">
      <alignment/>
    </xf>
    <xf numFmtId="0" fontId="0" fillId="0" borderId="0" xfId="57" applyFont="1" applyFill="1">
      <alignment/>
      <protection/>
    </xf>
    <xf numFmtId="0" fontId="3" fillId="0" borderId="0" xfId="0" applyFont="1" applyBorder="1" applyAlignment="1">
      <alignment/>
    </xf>
    <xf numFmtId="0" fontId="2" fillId="0" borderId="0" xfId="0" applyFont="1" applyFill="1" applyBorder="1" applyAlignment="1">
      <alignment/>
    </xf>
    <xf numFmtId="0" fontId="12" fillId="0" borderId="0" xfId="0" applyFont="1" applyFill="1" applyBorder="1" applyAlignment="1">
      <alignment horizontal="center" vertical="center" wrapText="1"/>
    </xf>
    <xf numFmtId="1" fontId="8" fillId="0" borderId="0" xfId="0" applyNumberFormat="1" applyFont="1" applyFill="1" applyBorder="1" applyAlignment="1">
      <alignment horizontal="center" vertical="center"/>
    </xf>
    <xf numFmtId="0" fontId="8" fillId="0" borderId="0" xfId="0" applyFont="1" applyBorder="1" applyAlignment="1">
      <alignment/>
    </xf>
    <xf numFmtId="0" fontId="9" fillId="0" borderId="0" xfId="0" applyFont="1" applyBorder="1" applyAlignment="1">
      <alignment/>
    </xf>
    <xf numFmtId="0" fontId="9" fillId="0" borderId="0" xfId="0" applyFont="1" applyFill="1" applyBorder="1" applyAlignment="1">
      <alignment/>
    </xf>
    <xf numFmtId="1" fontId="9" fillId="0" borderId="0" xfId="0" applyNumberFormat="1" applyFont="1" applyFill="1" applyBorder="1" applyAlignment="1">
      <alignment horizontal="center" vertical="center"/>
    </xf>
    <xf numFmtId="0" fontId="10" fillId="0" borderId="0" xfId="57" applyFont="1" applyFill="1" applyAlignment="1">
      <alignment horizontal="center" vertical="center"/>
      <protection/>
    </xf>
    <xf numFmtId="0" fontId="13" fillId="0" borderId="0" xfId="57" applyFont="1" applyFill="1">
      <alignment/>
      <protection/>
    </xf>
    <xf numFmtId="180" fontId="0" fillId="0" borderId="0" xfId="57" applyNumberFormat="1" applyFont="1" applyFill="1">
      <alignment/>
      <protection/>
    </xf>
    <xf numFmtId="0" fontId="3" fillId="0" borderId="0" xfId="0" applyFont="1" applyAlignment="1">
      <alignment horizontal="center"/>
    </xf>
    <xf numFmtId="180" fontId="3" fillId="0" borderId="0" xfId="0" applyNumberFormat="1" applyFont="1" applyFill="1" applyAlignment="1">
      <alignment/>
    </xf>
    <xf numFmtId="2" fontId="3" fillId="0" borderId="0" xfId="0" applyNumberFormat="1" applyFont="1" applyFill="1" applyAlignment="1">
      <alignment/>
    </xf>
    <xf numFmtId="0" fontId="0" fillId="0" borderId="0" xfId="0" applyFill="1" applyAlignment="1">
      <alignment/>
    </xf>
    <xf numFmtId="0" fontId="16" fillId="0" borderId="0" xfId="0" applyFont="1" applyAlignment="1">
      <alignment/>
    </xf>
    <xf numFmtId="0" fontId="23" fillId="0" borderId="0" xfId="0" applyFont="1" applyFill="1" applyAlignment="1">
      <alignment/>
    </xf>
    <xf numFmtId="0" fontId="25" fillId="0" borderId="0" xfId="0" applyFont="1" applyFill="1" applyAlignment="1">
      <alignment/>
    </xf>
    <xf numFmtId="0" fontId="26" fillId="0" borderId="0" xfId="0" applyFont="1" applyFill="1" applyAlignment="1">
      <alignment/>
    </xf>
    <xf numFmtId="2" fontId="26" fillId="0" borderId="0" xfId="0" applyNumberFormat="1" applyFont="1" applyFill="1" applyAlignment="1">
      <alignment/>
    </xf>
    <xf numFmtId="0" fontId="26" fillId="0" borderId="0" xfId="0" applyFont="1" applyFill="1" applyAlignment="1">
      <alignment horizontal="center" vertical="center"/>
    </xf>
    <xf numFmtId="0" fontId="0" fillId="0" borderId="0" xfId="0" applyFont="1" applyBorder="1" applyAlignment="1">
      <alignment/>
    </xf>
    <xf numFmtId="0" fontId="24" fillId="0" borderId="0" xfId="0" applyFont="1" applyFill="1" applyAlignment="1">
      <alignment/>
    </xf>
    <xf numFmtId="0" fontId="22" fillId="0" borderId="0" xfId="0" applyFont="1" applyFill="1" applyAlignment="1">
      <alignment/>
    </xf>
    <xf numFmtId="0" fontId="0" fillId="0" borderId="0" xfId="0" applyBorder="1" applyAlignment="1">
      <alignment/>
    </xf>
    <xf numFmtId="0" fontId="8" fillId="0" borderId="0" xfId="0" applyFont="1" applyFill="1" applyBorder="1" applyAlignment="1">
      <alignment/>
    </xf>
    <xf numFmtId="0" fontId="15" fillId="0" borderId="0" xfId="0" applyFont="1" applyAlignment="1">
      <alignment/>
    </xf>
    <xf numFmtId="49" fontId="15" fillId="0" borderId="10" xfId="0" applyNumberFormat="1" applyFont="1" applyFill="1" applyBorder="1" applyAlignment="1">
      <alignment horizontal="center" vertical="center" wrapText="1"/>
    </xf>
    <xf numFmtId="184" fontId="6" fillId="0" borderId="0" xfId="0" applyNumberFormat="1" applyFont="1" applyFill="1" applyBorder="1" applyAlignment="1">
      <alignment horizontal="center" vertical="center" wrapText="1"/>
    </xf>
    <xf numFmtId="0" fontId="31" fillId="0" borderId="0" xfId="0" applyFont="1" applyFill="1" applyAlignment="1">
      <alignment/>
    </xf>
    <xf numFmtId="0" fontId="16" fillId="0" borderId="0" xfId="0" applyFont="1" applyFill="1" applyAlignment="1">
      <alignment/>
    </xf>
    <xf numFmtId="0" fontId="32" fillId="0" borderId="0" xfId="57" applyFont="1" applyFill="1">
      <alignment/>
      <protection/>
    </xf>
    <xf numFmtId="180" fontId="32" fillId="0" borderId="0" xfId="57" applyNumberFormat="1" applyFont="1" applyFill="1">
      <alignment/>
      <protection/>
    </xf>
    <xf numFmtId="49" fontId="7" fillId="0" borderId="0" xfId="57" applyNumberFormat="1" applyFont="1" applyFill="1" applyAlignment="1">
      <alignment/>
      <protection/>
    </xf>
    <xf numFmtId="0" fontId="20" fillId="0" borderId="0" xfId="57" applyFont="1" applyFill="1" applyAlignment="1">
      <alignment horizontal="left" vertical="top"/>
      <protection/>
    </xf>
    <xf numFmtId="0" fontId="19" fillId="0" borderId="0" xfId="57" applyFont="1" applyFill="1" applyAlignment="1">
      <alignment horizontal="center"/>
      <protection/>
    </xf>
    <xf numFmtId="0" fontId="21" fillId="0" borderId="0" xfId="57" applyFont="1" applyFill="1" applyAlignment="1">
      <alignment horizontal="center" vertical="center"/>
      <protection/>
    </xf>
    <xf numFmtId="0" fontId="15" fillId="0" borderId="0" xfId="0" applyFont="1" applyFill="1" applyAlignment="1">
      <alignment/>
    </xf>
    <xf numFmtId="0" fontId="19" fillId="0" borderId="0" xfId="57" applyFont="1" applyFill="1" applyAlignment="1">
      <alignment/>
      <protection/>
    </xf>
    <xf numFmtId="0" fontId="29" fillId="0" borderId="0" xfId="0" applyFont="1" applyAlignment="1">
      <alignment/>
    </xf>
    <xf numFmtId="0" fontId="19" fillId="0" borderId="0" xfId="0" applyFont="1" applyFill="1" applyAlignment="1">
      <alignment/>
    </xf>
    <xf numFmtId="0" fontId="15" fillId="0" borderId="0" xfId="0" applyFont="1" applyBorder="1" applyAlignment="1">
      <alignment/>
    </xf>
    <xf numFmtId="0" fontId="4" fillId="0" borderId="0" xfId="0" applyFont="1" applyFill="1" applyAlignment="1">
      <alignment horizontal="left" vertical="top"/>
    </xf>
    <xf numFmtId="49" fontId="15" fillId="0" borderId="10" xfId="57" applyNumberFormat="1" applyFont="1" applyFill="1" applyBorder="1" applyAlignment="1">
      <alignment horizontal="center" vertical="center" wrapText="1"/>
      <protection/>
    </xf>
    <xf numFmtId="0" fontId="15" fillId="0" borderId="10" xfId="0" applyFont="1" applyFill="1" applyBorder="1" applyAlignment="1">
      <alignment horizontal="center" vertical="center" wrapText="1"/>
    </xf>
    <xf numFmtId="0" fontId="35" fillId="0" borderId="0" xfId="0" applyFont="1" applyFill="1" applyAlignment="1">
      <alignment/>
    </xf>
    <xf numFmtId="0" fontId="36" fillId="0" borderId="0" xfId="0" applyFont="1" applyFill="1" applyAlignment="1">
      <alignment/>
    </xf>
    <xf numFmtId="0" fontId="0" fillId="0" borderId="0" xfId="0" applyFont="1" applyAlignment="1">
      <alignment/>
    </xf>
    <xf numFmtId="1" fontId="0" fillId="0" borderId="0" xfId="0" applyNumberFormat="1" applyFont="1" applyFill="1" applyBorder="1" applyAlignment="1">
      <alignment horizontal="center" vertical="center"/>
    </xf>
    <xf numFmtId="0" fontId="0" fillId="0" borderId="0" xfId="0" applyFont="1" applyBorder="1" applyAlignment="1">
      <alignment/>
    </xf>
    <xf numFmtId="0" fontId="28" fillId="0" borderId="0" xfId="0" applyFont="1" applyFill="1" applyAlignment="1">
      <alignment/>
    </xf>
    <xf numFmtId="49" fontId="15" fillId="0" borderId="0" xfId="57" applyNumberFormat="1" applyFont="1" applyFill="1" applyAlignment="1">
      <alignment/>
      <protection/>
    </xf>
    <xf numFmtId="185" fontId="15" fillId="0" borderId="10" xfId="0" applyNumberFormat="1" applyFont="1" applyFill="1" applyBorder="1" applyAlignment="1">
      <alignment horizontal="center" vertical="center" wrapText="1"/>
    </xf>
    <xf numFmtId="185" fontId="15" fillId="0" borderId="11" xfId="0" applyNumberFormat="1" applyFont="1" applyFill="1" applyBorder="1" applyAlignment="1">
      <alignment horizontal="center" vertical="center" wrapText="1"/>
    </xf>
    <xf numFmtId="0" fontId="21" fillId="0" borderId="0" xfId="60" applyFont="1" applyFill="1" applyAlignment="1">
      <alignment horizontal="center" vertical="center"/>
      <protection/>
    </xf>
    <xf numFmtId="0" fontId="0" fillId="0" borderId="0" xfId="0" applyFont="1" applyFill="1" applyAlignment="1">
      <alignment/>
    </xf>
    <xf numFmtId="0" fontId="0" fillId="0" borderId="0" xfId="0" applyFont="1" applyAlignment="1">
      <alignment/>
    </xf>
    <xf numFmtId="0" fontId="29" fillId="0" borderId="10" xfId="57" applyFont="1" applyFill="1" applyBorder="1" applyAlignment="1">
      <alignment horizontal="left"/>
      <protection/>
    </xf>
    <xf numFmtId="185" fontId="15" fillId="0" borderId="10" xfId="0" applyNumberFormat="1" applyFont="1" applyBorder="1" applyAlignment="1">
      <alignment horizontal="center" vertical="center" wrapText="1"/>
    </xf>
    <xf numFmtId="185" fontId="15" fillId="0" borderId="10" xfId="57" applyNumberFormat="1" applyFont="1" applyFill="1" applyBorder="1" applyAlignment="1">
      <alignment horizontal="center" vertical="center" wrapText="1"/>
      <protection/>
    </xf>
    <xf numFmtId="0" fontId="4" fillId="0" borderId="0" xfId="0" applyFont="1" applyFill="1" applyAlignment="1">
      <alignment vertical="top"/>
    </xf>
    <xf numFmtId="0" fontId="40" fillId="0" borderId="0" xfId="57" applyFont="1" applyFill="1" applyAlignment="1">
      <alignment horizontal="left" vertical="top"/>
      <protection/>
    </xf>
    <xf numFmtId="0" fontId="32" fillId="0" borderId="0" xfId="57" applyFont="1" applyFill="1" applyAlignment="1">
      <alignment horizontal="center"/>
      <protection/>
    </xf>
    <xf numFmtId="185" fontId="15" fillId="0" borderId="0" xfId="0" applyNumberFormat="1" applyFont="1" applyFill="1" applyAlignment="1">
      <alignment/>
    </xf>
    <xf numFmtId="0" fontId="0" fillId="0" borderId="0" xfId="0" applyAlignment="1">
      <alignment/>
    </xf>
    <xf numFmtId="0" fontId="21" fillId="0" borderId="0" xfId="58" applyFont="1" applyFill="1" applyAlignment="1">
      <alignment horizontal="center" vertical="center"/>
      <protection/>
    </xf>
    <xf numFmtId="0" fontId="29" fillId="0" borderId="12" xfId="58" applyFont="1" applyFill="1" applyBorder="1" applyAlignment="1">
      <alignment horizontal="left"/>
      <protection/>
    </xf>
    <xf numFmtId="0" fontId="29" fillId="0" borderId="10" xfId="58" applyFont="1" applyFill="1" applyBorder="1" applyAlignment="1">
      <alignment horizontal="left"/>
      <protection/>
    </xf>
    <xf numFmtId="0" fontId="29" fillId="0" borderId="13" xfId="58" applyFont="1" applyFill="1" applyBorder="1" applyAlignment="1">
      <alignment horizontal="left"/>
      <protection/>
    </xf>
    <xf numFmtId="0" fontId="0" fillId="0" borderId="0" xfId="0" applyFill="1" applyAlignment="1">
      <alignment/>
    </xf>
    <xf numFmtId="185" fontId="0" fillId="0" borderId="10" xfId="0" applyNumberFormat="1" applyFill="1" applyBorder="1" applyAlignment="1">
      <alignment horizontal="center"/>
    </xf>
    <xf numFmtId="185" fontId="0" fillId="0" borderId="0" xfId="0" applyNumberFormat="1" applyFill="1" applyAlignment="1">
      <alignment horizontal="center"/>
    </xf>
    <xf numFmtId="0" fontId="44" fillId="0" borderId="10" xfId="0" applyFont="1" applyBorder="1" applyAlignment="1">
      <alignment horizontal="center" vertical="center" wrapText="1"/>
    </xf>
    <xf numFmtId="0" fontId="20" fillId="0" borderId="0" xfId="57" applyFont="1" applyFill="1" applyAlignment="1">
      <alignment vertical="top"/>
      <protection/>
    </xf>
    <xf numFmtId="0" fontId="0" fillId="0" borderId="0" xfId="0" applyFont="1" applyFill="1" applyAlignment="1">
      <alignment/>
    </xf>
    <xf numFmtId="0" fontId="45" fillId="0" borderId="0" xfId="57" applyFont="1" applyFill="1">
      <alignment/>
      <protection/>
    </xf>
    <xf numFmtId="0" fontId="15"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0" fillId="0" borderId="0" xfId="0" applyFont="1" applyAlignment="1">
      <alignment/>
    </xf>
    <xf numFmtId="0" fontId="15" fillId="0" borderId="10" xfId="0" applyFont="1" applyFill="1" applyBorder="1" applyAlignment="1">
      <alignment horizontal="center" vertical="center" wrapText="1"/>
    </xf>
    <xf numFmtId="185" fontId="15" fillId="0" borderId="10" xfId="0" applyNumberFormat="1" applyFont="1" applyFill="1" applyBorder="1" applyAlignment="1">
      <alignment horizontal="center" vertical="center" wrapText="1"/>
    </xf>
    <xf numFmtId="185" fontId="0" fillId="0" borderId="0" xfId="0" applyNumberFormat="1" applyFont="1" applyAlignment="1">
      <alignment/>
    </xf>
    <xf numFmtId="181" fontId="7" fillId="0" borderId="10" xfId="42" applyNumberFormat="1" applyFont="1" applyFill="1" applyBorder="1" applyAlignment="1">
      <alignment horizontal="right" vertical="center"/>
    </xf>
    <xf numFmtId="181" fontId="7" fillId="0" borderId="10" xfId="42" applyNumberFormat="1" applyFont="1" applyFill="1" applyBorder="1" applyAlignment="1">
      <alignment horizontal="left"/>
    </xf>
    <xf numFmtId="181" fontId="0" fillId="0" borderId="0" xfId="42" applyNumberFormat="1" applyFont="1" applyAlignment="1">
      <alignment/>
    </xf>
    <xf numFmtId="0" fontId="7" fillId="0" borderId="10" xfId="0" applyFont="1" applyBorder="1" applyAlignment="1">
      <alignment horizontal="justify" vertical="center" wrapText="1"/>
    </xf>
    <xf numFmtId="0" fontId="7" fillId="0" borderId="10" xfId="0" applyFont="1" applyFill="1" applyBorder="1" applyAlignment="1">
      <alignment wrapText="1"/>
    </xf>
    <xf numFmtId="0" fontId="7" fillId="0" borderId="0" xfId="0" applyFont="1" applyBorder="1" applyAlignment="1">
      <alignment/>
    </xf>
    <xf numFmtId="181" fontId="7" fillId="0" borderId="10" xfId="42" applyNumberFormat="1" applyFont="1" applyFill="1" applyBorder="1" applyAlignment="1">
      <alignment horizontal="center" vertical="center" wrapText="1"/>
    </xf>
    <xf numFmtId="181" fontId="7" fillId="0" borderId="0" xfId="42" applyNumberFormat="1" applyFont="1" applyAlignment="1">
      <alignment/>
    </xf>
    <xf numFmtId="181" fontId="33" fillId="0" borderId="0" xfId="42" applyNumberFormat="1" applyFont="1" applyBorder="1" applyAlignment="1">
      <alignment/>
    </xf>
    <xf numFmtId="181" fontId="7" fillId="0" borderId="0" xfId="42" applyNumberFormat="1" applyFont="1" applyBorder="1" applyAlignment="1">
      <alignment/>
    </xf>
    <xf numFmtId="181" fontId="22" fillId="0" borderId="0" xfId="42" applyNumberFormat="1" applyFont="1" applyBorder="1" applyAlignment="1">
      <alignment/>
    </xf>
    <xf numFmtId="181" fontId="7" fillId="0" borderId="0" xfId="42" applyNumberFormat="1" applyFont="1" applyFill="1" applyAlignment="1">
      <alignment/>
    </xf>
    <xf numFmtId="181" fontId="7" fillId="34" borderId="10" xfId="42" applyNumberFormat="1" applyFont="1" applyFill="1" applyBorder="1" applyAlignment="1">
      <alignment horizontal="right"/>
    </xf>
    <xf numFmtId="181" fontId="24" fillId="0" borderId="0" xfId="42" applyNumberFormat="1" applyFont="1" applyAlignment="1">
      <alignment/>
    </xf>
    <xf numFmtId="181" fontId="24" fillId="0" borderId="0" xfId="42" applyNumberFormat="1" applyFont="1" applyFill="1" applyAlignment="1">
      <alignment/>
    </xf>
    <xf numFmtId="181" fontId="7" fillId="0" borderId="0" xfId="42" applyNumberFormat="1" applyFont="1" applyFill="1" applyAlignment="1">
      <alignment/>
    </xf>
    <xf numFmtId="181" fontId="4" fillId="0" borderId="0" xfId="42" applyNumberFormat="1" applyFont="1" applyFill="1" applyAlignment="1">
      <alignment horizontal="left" vertical="top"/>
    </xf>
    <xf numFmtId="181" fontId="36" fillId="0" borderId="0" xfId="42" applyNumberFormat="1" applyFont="1" applyFill="1" applyAlignment="1">
      <alignment/>
    </xf>
    <xf numFmtId="181" fontId="14" fillId="34" borderId="10" xfId="42" applyNumberFormat="1" applyFont="1" applyFill="1" applyBorder="1" applyAlignment="1">
      <alignment vertical="center"/>
    </xf>
    <xf numFmtId="181" fontId="46" fillId="34" borderId="10" xfId="42" applyNumberFormat="1" applyFont="1" applyFill="1" applyBorder="1" applyAlignment="1" applyProtection="1">
      <alignment horizontal="center" vertical="center" wrapText="1"/>
      <protection/>
    </xf>
    <xf numFmtId="181" fontId="3" fillId="0" borderId="0" xfId="42" applyNumberFormat="1" applyFont="1" applyAlignment="1">
      <alignment/>
    </xf>
    <xf numFmtId="181" fontId="7" fillId="0" borderId="10" xfId="42" applyNumberFormat="1" applyFont="1" applyFill="1" applyBorder="1" applyAlignment="1" quotePrefix="1">
      <alignment horizontal="right" vertical="center"/>
    </xf>
    <xf numFmtId="181" fontId="7" fillId="0" borderId="10" xfId="42" applyNumberFormat="1" applyFont="1" applyBorder="1" applyAlignment="1">
      <alignment horizontal="right"/>
    </xf>
    <xf numFmtId="181" fontId="7" fillId="0" borderId="10" xfId="42" applyNumberFormat="1" applyFont="1" applyFill="1" applyBorder="1" applyAlignment="1">
      <alignment horizontal="right"/>
    </xf>
    <xf numFmtId="181" fontId="27" fillId="34" borderId="10" xfId="42" applyNumberFormat="1" applyFont="1" applyFill="1" applyBorder="1" applyAlignment="1">
      <alignment horizontal="right"/>
    </xf>
    <xf numFmtId="181" fontId="27" fillId="34" borderId="10" xfId="42" applyNumberFormat="1" applyFont="1" applyFill="1" applyBorder="1" applyAlignment="1">
      <alignment horizontal="right" vertical="center" wrapText="1"/>
    </xf>
    <xf numFmtId="0" fontId="0" fillId="0" borderId="0" xfId="0" applyFont="1" applyAlignment="1">
      <alignment/>
    </xf>
    <xf numFmtId="0" fontId="7" fillId="0" borderId="0" xfId="0" applyFont="1" applyFill="1" applyAlignment="1">
      <alignment/>
    </xf>
    <xf numFmtId="0" fontId="25" fillId="0" borderId="0" xfId="0" applyFont="1" applyFill="1" applyAlignment="1">
      <alignment vertical="top"/>
    </xf>
    <xf numFmtId="0" fontId="47" fillId="0" borderId="0" xfId="0" applyFont="1" applyFill="1" applyBorder="1" applyAlignment="1">
      <alignment/>
    </xf>
    <xf numFmtId="0" fontId="27" fillId="0" borderId="10" xfId="58" applyFont="1" applyFill="1" applyBorder="1" applyAlignment="1">
      <alignment horizontal="center" wrapText="1"/>
      <protection/>
    </xf>
    <xf numFmtId="0" fontId="27" fillId="0" borderId="10" xfId="0" applyFont="1" applyFill="1" applyBorder="1" applyAlignment="1">
      <alignment wrapText="1"/>
    </xf>
    <xf numFmtId="0" fontId="27" fillId="0" borderId="10" xfId="0" applyFont="1" applyFill="1" applyBorder="1" applyAlignment="1" applyProtection="1">
      <alignment vertical="center" wrapText="1"/>
      <protection locked="0"/>
    </xf>
    <xf numFmtId="0" fontId="27" fillId="0" borderId="10" xfId="58" applyFont="1" applyFill="1" applyBorder="1" applyAlignment="1">
      <alignment/>
      <protection/>
    </xf>
    <xf numFmtId="181" fontId="27" fillId="0" borderId="10" xfId="42" applyNumberFormat="1" applyFont="1" applyFill="1" applyBorder="1" applyAlignment="1">
      <alignment horizontal="left"/>
    </xf>
    <xf numFmtId="181" fontId="27" fillId="0" borderId="10" xfId="42" applyNumberFormat="1" applyFont="1" applyFill="1" applyBorder="1" applyAlignment="1">
      <alignment/>
    </xf>
    <xf numFmtId="181" fontId="19" fillId="0" borderId="0" xfId="42" applyNumberFormat="1" applyFont="1" applyFill="1" applyAlignment="1">
      <alignment/>
    </xf>
    <xf numFmtId="181" fontId="15" fillId="0" borderId="0" xfId="42" applyNumberFormat="1" applyFont="1" applyBorder="1" applyAlignment="1">
      <alignment/>
    </xf>
    <xf numFmtId="181" fontId="15" fillId="0" borderId="10" xfId="42" applyNumberFormat="1" applyFont="1" applyBorder="1" applyAlignment="1">
      <alignment horizontal="center" vertical="center" wrapText="1"/>
    </xf>
    <xf numFmtId="181" fontId="15" fillId="0" borderId="0" xfId="42" applyNumberFormat="1" applyFont="1" applyAlignment="1">
      <alignment/>
    </xf>
    <xf numFmtId="0" fontId="15" fillId="0" borderId="10" xfId="58" applyFont="1" applyFill="1" applyBorder="1" applyAlignment="1">
      <alignment horizontal="center"/>
      <protection/>
    </xf>
    <xf numFmtId="0" fontId="39" fillId="0" borderId="0" xfId="0" applyFont="1" applyAlignment="1">
      <alignment vertical="center"/>
    </xf>
    <xf numFmtId="0" fontId="0" fillId="0" borderId="0" xfId="0" applyAlignment="1">
      <alignment/>
    </xf>
    <xf numFmtId="0" fontId="10" fillId="0" borderId="0" xfId="0" applyFont="1" applyAlignment="1">
      <alignment horizontal="right"/>
    </xf>
    <xf numFmtId="181" fontId="3" fillId="0" borderId="0" xfId="0" applyNumberFormat="1" applyFont="1" applyFill="1" applyAlignment="1">
      <alignment/>
    </xf>
    <xf numFmtId="181" fontId="29" fillId="34" borderId="10" xfId="42" applyNumberFormat="1" applyFont="1" applyFill="1" applyBorder="1" applyAlignment="1">
      <alignment vertical="center"/>
    </xf>
    <xf numFmtId="181" fontId="34" fillId="34" borderId="10" xfId="42" applyNumberFormat="1" applyFont="1" applyFill="1" applyBorder="1" applyAlignment="1" applyProtection="1">
      <alignment horizontal="center" vertical="center" wrapText="1"/>
      <protection/>
    </xf>
    <xf numFmtId="1" fontId="15" fillId="0" borderId="10" xfId="0" applyNumberFormat="1" applyFont="1" applyFill="1" applyBorder="1" applyAlignment="1">
      <alignment horizontal="center" vertical="center"/>
    </xf>
    <xf numFmtId="181" fontId="15" fillId="34" borderId="10" xfId="42" applyNumberFormat="1" applyFont="1" applyFill="1" applyBorder="1" applyAlignment="1">
      <alignment vertical="top" wrapText="1"/>
    </xf>
    <xf numFmtId="181" fontId="15" fillId="0" borderId="10" xfId="42" applyNumberFormat="1" applyFont="1" applyFill="1" applyBorder="1" applyAlignment="1">
      <alignment vertical="top" wrapText="1"/>
    </xf>
    <xf numFmtId="181" fontId="15" fillId="34" borderId="10" xfId="42" applyNumberFormat="1" applyFont="1" applyFill="1" applyBorder="1" applyAlignment="1" quotePrefix="1">
      <alignment horizontal="right" vertical="center"/>
    </xf>
    <xf numFmtId="181" fontId="15" fillId="0" borderId="10" xfId="42" applyNumberFormat="1" applyFont="1" applyFill="1" applyBorder="1" applyAlignment="1">
      <alignment horizontal="right" vertical="center"/>
    </xf>
    <xf numFmtId="181" fontId="15" fillId="0" borderId="10" xfId="42" applyNumberFormat="1" applyFont="1" applyFill="1" applyBorder="1" applyAlignment="1" quotePrefix="1">
      <alignment horizontal="right" vertical="center"/>
    </xf>
    <xf numFmtId="181" fontId="15" fillId="0" borderId="13" xfId="42" applyNumberFormat="1" applyFont="1" applyFill="1" applyBorder="1" applyAlignment="1">
      <alignment vertical="top" wrapText="1"/>
    </xf>
    <xf numFmtId="181" fontId="15" fillId="0" borderId="10" xfId="42" applyNumberFormat="1" applyFont="1" applyFill="1" applyBorder="1" applyAlignment="1">
      <alignment horizontal="center" vertical="top" wrapText="1"/>
    </xf>
    <xf numFmtId="181" fontId="15" fillId="0" borderId="10" xfId="42" applyNumberFormat="1" applyFont="1" applyFill="1" applyBorder="1" applyAlignment="1">
      <alignment horizontal="center" vertical="center"/>
    </xf>
    <xf numFmtId="0" fontId="15" fillId="0" borderId="10" xfId="58" applyFont="1" applyFill="1" applyBorder="1" applyAlignment="1">
      <alignment horizontal="center" wrapText="1"/>
      <protection/>
    </xf>
    <xf numFmtId="0" fontId="15" fillId="0" borderId="10" xfId="0" applyFont="1" applyFill="1" applyBorder="1" applyAlignment="1">
      <alignment wrapText="1"/>
    </xf>
    <xf numFmtId="0" fontId="15" fillId="0" borderId="10" xfId="0" applyFont="1" applyFill="1" applyBorder="1" applyAlignment="1" applyProtection="1">
      <alignment vertical="center" wrapText="1"/>
      <protection locked="0"/>
    </xf>
    <xf numFmtId="0" fontId="15" fillId="0" borderId="10" xfId="58" applyFont="1" applyFill="1" applyBorder="1" applyAlignment="1">
      <alignment/>
      <protection/>
    </xf>
    <xf numFmtId="181" fontId="15" fillId="0" borderId="10" xfId="42" applyNumberFormat="1" applyFont="1" applyFill="1" applyBorder="1" applyAlignment="1">
      <alignment horizontal="left"/>
    </xf>
    <xf numFmtId="181" fontId="15" fillId="0" borderId="10" xfId="42" applyNumberFormat="1" applyFont="1" applyFill="1" applyBorder="1" applyAlignment="1">
      <alignment/>
    </xf>
    <xf numFmtId="0" fontId="48" fillId="0" borderId="0" xfId="0" applyFont="1" applyFill="1" applyBorder="1" applyAlignment="1">
      <alignment/>
    </xf>
    <xf numFmtId="181" fontId="15" fillId="0" borderId="0" xfId="42" applyNumberFormat="1" applyFont="1" applyFill="1" applyAlignment="1">
      <alignment/>
    </xf>
    <xf numFmtId="1" fontId="15" fillId="0" borderId="0" xfId="0" applyNumberFormat="1" applyFont="1" applyFill="1" applyBorder="1" applyAlignment="1">
      <alignment horizontal="center" vertical="center"/>
    </xf>
    <xf numFmtId="0" fontId="15" fillId="0" borderId="0" xfId="0" applyFont="1" applyFill="1" applyBorder="1" applyAlignment="1">
      <alignment/>
    </xf>
    <xf numFmtId="181" fontId="14" fillId="34" borderId="10" xfId="42" applyNumberFormat="1" applyFont="1" applyFill="1" applyBorder="1" applyAlignment="1">
      <alignment horizontal="right" vertical="center"/>
    </xf>
    <xf numFmtId="181" fontId="46" fillId="34" borderId="10" xfId="42" applyNumberFormat="1" applyFont="1" applyFill="1" applyBorder="1" applyAlignment="1" applyProtection="1">
      <alignment horizontal="right" vertical="center" wrapText="1"/>
      <protection/>
    </xf>
    <xf numFmtId="0" fontId="15" fillId="35" borderId="0" xfId="0" applyFont="1" applyFill="1" applyAlignment="1">
      <alignment/>
    </xf>
    <xf numFmtId="0" fontId="48" fillId="35" borderId="0" xfId="0" applyFont="1" applyFill="1" applyBorder="1" applyAlignment="1">
      <alignment/>
    </xf>
    <xf numFmtId="1" fontId="15" fillId="0" borderId="10" xfId="0" applyNumberFormat="1" applyFont="1" applyFill="1" applyBorder="1" applyAlignment="1">
      <alignment horizontal="center" vertical="center" wrapText="1"/>
    </xf>
    <xf numFmtId="0" fontId="15" fillId="0" borderId="10"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10" xfId="57" applyFont="1" applyFill="1" applyBorder="1" applyAlignment="1">
      <alignment horizontal="center" vertical="center"/>
      <protection/>
    </xf>
    <xf numFmtId="181" fontId="7" fillId="34" borderId="10" xfId="42" applyNumberFormat="1" applyFont="1" applyFill="1" applyBorder="1" applyAlignment="1" applyProtection="1">
      <alignment horizontal="right" vertical="center" wrapText="1"/>
      <protection/>
    </xf>
    <xf numFmtId="0" fontId="15" fillId="0" borderId="10" xfId="58" applyFont="1" applyFill="1" applyBorder="1" applyAlignment="1">
      <alignment wrapText="1"/>
      <protection/>
    </xf>
    <xf numFmtId="181" fontId="15" fillId="0" borderId="10" xfId="42" applyNumberFormat="1" applyFont="1" applyFill="1" applyBorder="1" applyAlignment="1">
      <alignment horizontal="left" wrapText="1"/>
    </xf>
    <xf numFmtId="181" fontId="15" fillId="0" borderId="10" xfId="42" applyNumberFormat="1" applyFont="1" applyFill="1" applyBorder="1" applyAlignment="1">
      <alignment horizontal="left" vertical="center" wrapText="1"/>
    </xf>
    <xf numFmtId="181" fontId="15" fillId="0" borderId="10" xfId="42" applyNumberFormat="1" applyFont="1" applyFill="1" applyBorder="1" applyAlignment="1">
      <alignment vertical="center" wrapText="1"/>
    </xf>
    <xf numFmtId="185" fontId="44" fillId="0" borderId="10" xfId="0" applyNumberFormat="1" applyFont="1" applyBorder="1" applyAlignment="1">
      <alignment horizontal="center" vertical="center" wrapText="1"/>
    </xf>
    <xf numFmtId="0" fontId="15" fillId="0" borderId="10" xfId="58" applyFont="1" applyFill="1" applyBorder="1" applyAlignment="1">
      <alignment horizontal="left" vertical="center" wrapText="1"/>
      <protection/>
    </xf>
    <xf numFmtId="181" fontId="27" fillId="34" borderId="10" xfId="42" applyNumberFormat="1" applyFont="1" applyFill="1" applyBorder="1" applyAlignment="1">
      <alignment/>
    </xf>
    <xf numFmtId="181" fontId="27" fillId="0" borderId="10" xfId="42" applyNumberFormat="1" applyFont="1" applyFill="1" applyBorder="1" applyAlignment="1">
      <alignment/>
    </xf>
    <xf numFmtId="181" fontId="41" fillId="34" borderId="10" xfId="42" applyNumberFormat="1" applyFont="1" applyFill="1" applyBorder="1" applyAlignment="1">
      <alignment vertical="center"/>
    </xf>
    <xf numFmtId="181" fontId="57" fillId="34" borderId="10" xfId="42" applyNumberFormat="1" applyFont="1" applyFill="1" applyBorder="1" applyAlignment="1" applyProtection="1">
      <alignment horizontal="center" vertical="center" wrapText="1"/>
      <protection/>
    </xf>
    <xf numFmtId="181" fontId="14" fillId="34" borderId="10" xfId="42" applyNumberFormat="1" applyFont="1" applyFill="1" applyBorder="1" applyAlignment="1">
      <alignment horizontal="right"/>
    </xf>
    <xf numFmtId="181" fontId="7" fillId="0" borderId="10" xfId="42" applyNumberFormat="1" applyFont="1" applyFill="1" applyBorder="1" applyAlignment="1">
      <alignment horizontal="left" wrapText="1"/>
    </xf>
    <xf numFmtId="181" fontId="7" fillId="0" borderId="10" xfId="42" applyNumberFormat="1" applyFont="1" applyFill="1" applyBorder="1" applyAlignment="1" applyProtection="1">
      <alignment horizontal="left" vertical="center" wrapText="1"/>
      <protection locked="0"/>
    </xf>
    <xf numFmtId="181" fontId="15" fillId="0" borderId="13" xfId="42" applyNumberFormat="1" applyFont="1" applyFill="1" applyBorder="1" applyAlignment="1">
      <alignment horizontal="left"/>
    </xf>
    <xf numFmtId="181" fontId="29" fillId="0" borderId="13" xfId="42" applyNumberFormat="1" applyFont="1" applyFill="1" applyBorder="1" applyAlignment="1">
      <alignment horizontal="left"/>
    </xf>
    <xf numFmtId="181" fontId="29" fillId="0" borderId="12" xfId="42" applyNumberFormat="1" applyFont="1" applyFill="1" applyBorder="1" applyAlignment="1">
      <alignment horizontal="left"/>
    </xf>
    <xf numFmtId="181" fontId="15" fillId="0" borderId="13" xfId="42" applyNumberFormat="1" applyFont="1" applyFill="1" applyBorder="1" applyAlignment="1">
      <alignment horizontal="left" wrapText="1"/>
    </xf>
    <xf numFmtId="181" fontId="15" fillId="0" borderId="12" xfId="42" applyNumberFormat="1" applyFont="1" applyFill="1" applyBorder="1" applyAlignment="1">
      <alignment horizontal="left" wrapText="1"/>
    </xf>
    <xf numFmtId="181" fontId="15" fillId="0" borderId="12" xfId="42" applyNumberFormat="1" applyFont="1" applyFill="1" applyBorder="1" applyAlignment="1">
      <alignment horizontal="left" vertical="center" wrapText="1"/>
    </xf>
    <xf numFmtId="0" fontId="15" fillId="0" borderId="10" xfId="0" applyFont="1" applyFill="1" applyBorder="1" applyAlignment="1">
      <alignment vertical="center" wrapText="1"/>
    </xf>
    <xf numFmtId="0" fontId="15" fillId="0" borderId="13" xfId="0" applyFont="1" applyFill="1" applyBorder="1" applyAlignment="1">
      <alignment vertical="center" wrapText="1"/>
    </xf>
    <xf numFmtId="181" fontId="7" fillId="34" borderId="10" xfId="42" applyNumberFormat="1" applyFont="1" applyFill="1" applyBorder="1" applyAlignment="1">
      <alignment horizontal="right" vertical="center"/>
    </xf>
    <xf numFmtId="181" fontId="7" fillId="0" borderId="10" xfId="42" applyNumberFormat="1" applyFont="1" applyFill="1" applyBorder="1" applyAlignment="1">
      <alignment horizontal="right" vertical="center"/>
    </xf>
    <xf numFmtId="181" fontId="7" fillId="34" borderId="10" xfId="42" applyNumberFormat="1" applyFont="1" applyFill="1" applyBorder="1" applyAlignment="1" quotePrefix="1">
      <alignment horizontal="right" vertical="center"/>
    </xf>
    <xf numFmtId="181" fontId="7" fillId="0" borderId="10" xfId="42" applyNumberFormat="1" applyFont="1" applyFill="1" applyBorder="1" applyAlignment="1">
      <alignment/>
    </xf>
    <xf numFmtId="0" fontId="15" fillId="0" borderId="0" xfId="0" applyFont="1" applyBorder="1" applyAlignment="1">
      <alignment/>
    </xf>
    <xf numFmtId="0" fontId="0" fillId="0" borderId="0" xfId="0" applyFill="1" applyBorder="1" applyAlignment="1">
      <alignment/>
    </xf>
    <xf numFmtId="9" fontId="7" fillId="34" borderId="10" xfId="0" applyNumberFormat="1" applyFont="1" applyFill="1" applyBorder="1" applyAlignment="1">
      <alignment/>
    </xf>
    <xf numFmtId="181" fontId="59" fillId="34" borderId="10" xfId="42" applyNumberFormat="1" applyFont="1" applyFill="1" applyBorder="1" applyAlignment="1">
      <alignment vertical="center"/>
    </xf>
    <xf numFmtId="181" fontId="60" fillId="34" borderId="10" xfId="42" applyNumberFormat="1" applyFont="1" applyFill="1" applyBorder="1" applyAlignment="1" applyProtection="1">
      <alignment horizontal="center" vertical="center" wrapText="1"/>
      <protection/>
    </xf>
    <xf numFmtId="181" fontId="51" fillId="0" borderId="10" xfId="42" applyNumberFormat="1" applyFont="1" applyFill="1" applyBorder="1" applyAlignment="1" quotePrefix="1">
      <alignment horizontal="right" vertical="center"/>
    </xf>
    <xf numFmtId="181" fontId="51" fillId="0" borderId="10" xfId="42" applyNumberFormat="1" applyFont="1" applyFill="1" applyBorder="1" applyAlignment="1">
      <alignment horizontal="right" vertical="center"/>
    </xf>
    <xf numFmtId="181" fontId="7" fillId="0" borderId="0" xfId="42" applyNumberFormat="1" applyFont="1" applyFill="1" applyBorder="1" applyAlignment="1">
      <alignment vertical="center" wrapText="1"/>
    </xf>
    <xf numFmtId="181" fontId="7" fillId="34" borderId="10" xfId="42" applyNumberFormat="1" applyFont="1" applyFill="1" applyBorder="1" applyAlignment="1">
      <alignment vertical="top" wrapText="1"/>
    </xf>
    <xf numFmtId="181" fontId="7" fillId="0" borderId="13" xfId="42" applyNumberFormat="1" applyFont="1" applyFill="1" applyBorder="1" applyAlignment="1">
      <alignment horizontal="right" vertical="center" wrapText="1"/>
    </xf>
    <xf numFmtId="0" fontId="17" fillId="0" borderId="0" xfId="0" applyFont="1" applyFill="1" applyAlignment="1">
      <alignment horizontal="center" vertical="center"/>
    </xf>
    <xf numFmtId="1" fontId="15" fillId="0" borderId="0" xfId="57" applyNumberFormat="1" applyFont="1" applyFill="1" applyAlignment="1">
      <alignment/>
      <protection/>
    </xf>
    <xf numFmtId="1" fontId="7" fillId="0" borderId="0" xfId="57" applyNumberFormat="1" applyFont="1" applyFill="1" applyAlignment="1">
      <alignment/>
      <protection/>
    </xf>
    <xf numFmtId="43" fontId="0" fillId="0" borderId="0" xfId="42" applyFont="1" applyAlignment="1">
      <alignment/>
    </xf>
    <xf numFmtId="181" fontId="0" fillId="0" borderId="0" xfId="42" applyNumberFormat="1" applyFont="1" applyAlignment="1">
      <alignment/>
    </xf>
    <xf numFmtId="181" fontId="3" fillId="0" borderId="0" xfId="42" applyNumberFormat="1" applyFont="1" applyFill="1" applyAlignment="1">
      <alignment/>
    </xf>
    <xf numFmtId="0" fontId="0" fillId="36" borderId="0" xfId="0" applyFill="1" applyAlignment="1">
      <alignment/>
    </xf>
    <xf numFmtId="181" fontId="21" fillId="0" borderId="0" xfId="42" applyNumberFormat="1" applyFont="1" applyFill="1" applyAlignment="1">
      <alignment horizontal="center" vertical="center"/>
    </xf>
    <xf numFmtId="181" fontId="16" fillId="0" borderId="0" xfId="42" applyNumberFormat="1" applyFont="1" applyAlignment="1">
      <alignment/>
    </xf>
    <xf numFmtId="181" fontId="0" fillId="36" borderId="0" xfId="42" applyNumberFormat="1" applyFont="1" applyFill="1" applyAlignment="1">
      <alignment/>
    </xf>
    <xf numFmtId="181" fontId="0" fillId="0" borderId="0" xfId="42" applyNumberFormat="1" applyFont="1" applyFill="1" applyAlignment="1">
      <alignment/>
    </xf>
    <xf numFmtId="181" fontId="29" fillId="0" borderId="0" xfId="42" applyNumberFormat="1" applyFont="1" applyFill="1" applyBorder="1" applyAlignment="1">
      <alignment horizontal="center" vertical="center" wrapText="1"/>
    </xf>
    <xf numFmtId="181" fontId="15" fillId="0" borderId="0" xfId="42" applyNumberFormat="1" applyFont="1" applyFill="1" applyBorder="1" applyAlignment="1">
      <alignment horizontal="center" vertical="center" wrapText="1"/>
    </xf>
    <xf numFmtId="181" fontId="7" fillId="0" borderId="0" xfId="42" applyNumberFormat="1" applyFont="1" applyFill="1" applyBorder="1" applyAlignment="1">
      <alignment/>
    </xf>
    <xf numFmtId="181" fontId="7" fillId="34" borderId="10" xfId="42" applyNumberFormat="1" applyFont="1" applyFill="1" applyBorder="1" applyAlignment="1">
      <alignment horizontal="right"/>
    </xf>
    <xf numFmtId="181" fontId="7" fillId="0" borderId="13" xfId="42" applyNumberFormat="1" applyFont="1" applyFill="1" applyBorder="1" applyAlignment="1">
      <alignment vertical="top" wrapText="1"/>
    </xf>
    <xf numFmtId="181" fontId="22" fillId="0" borderId="10" xfId="42" applyNumberFormat="1" applyFont="1" applyFill="1" applyBorder="1" applyAlignment="1">
      <alignment horizontal="center" vertical="center" wrapText="1"/>
    </xf>
    <xf numFmtId="181" fontId="7" fillId="0" borderId="10" xfId="42" applyNumberFormat="1" applyFont="1" applyFill="1" applyBorder="1" applyAlignment="1">
      <alignment horizontal="right"/>
    </xf>
    <xf numFmtId="181" fontId="7" fillId="0" borderId="10" xfId="42" applyNumberFormat="1" applyFont="1" applyBorder="1" applyAlignment="1">
      <alignment horizontal="right"/>
    </xf>
    <xf numFmtId="181" fontId="7" fillId="0" borderId="10" xfId="42" applyNumberFormat="1" applyFont="1" applyFill="1" applyBorder="1" applyAlignment="1">
      <alignment horizontal="right"/>
    </xf>
    <xf numFmtId="181" fontId="7" fillId="0" borderId="0" xfId="42" applyNumberFormat="1" applyFont="1" applyFill="1" applyAlignment="1">
      <alignment horizontal="right"/>
    </xf>
    <xf numFmtId="181" fontId="7" fillId="0" borderId="10" xfId="42" applyNumberFormat="1" applyFont="1" applyBorder="1" applyAlignment="1">
      <alignment horizontal="right" vertical="center"/>
    </xf>
    <xf numFmtId="181" fontId="7" fillId="0" borderId="10" xfId="42" applyNumberFormat="1" applyFont="1" applyFill="1" applyBorder="1" applyAlignment="1">
      <alignment horizontal="right" vertical="center" wrapText="1"/>
    </xf>
    <xf numFmtId="181" fontId="7" fillId="34" borderId="10" xfId="42" applyNumberFormat="1" applyFont="1" applyFill="1" applyBorder="1" applyAlignment="1">
      <alignment horizontal="right" vertical="center"/>
    </xf>
    <xf numFmtId="181" fontId="7" fillId="34" borderId="10" xfId="42" applyNumberFormat="1" applyFont="1" applyFill="1" applyBorder="1" applyAlignment="1">
      <alignment horizontal="right" vertical="center" wrapText="1"/>
    </xf>
    <xf numFmtId="181" fontId="57" fillId="34" borderId="10" xfId="42" applyNumberFormat="1" applyFont="1" applyFill="1" applyBorder="1" applyAlignment="1" applyProtection="1">
      <alignment horizontal="right" vertical="center" wrapText="1"/>
      <protection/>
    </xf>
    <xf numFmtId="181" fontId="57" fillId="0" borderId="0" xfId="42" applyNumberFormat="1" applyFont="1" applyFill="1" applyBorder="1" applyAlignment="1" applyProtection="1">
      <alignment horizontal="center" vertical="center" wrapText="1"/>
      <protection/>
    </xf>
    <xf numFmtId="0" fontId="27" fillId="0" borderId="0" xfId="0" applyFont="1" applyAlignment="1">
      <alignment/>
    </xf>
    <xf numFmtId="181" fontId="27" fillId="0" borderId="0" xfId="42" applyNumberFormat="1" applyFont="1" applyAlignment="1">
      <alignment/>
    </xf>
    <xf numFmtId="0" fontId="15" fillId="37" borderId="0" xfId="0" applyFont="1" applyFill="1" applyAlignment="1">
      <alignment/>
    </xf>
    <xf numFmtId="0" fontId="15" fillId="38" borderId="0" xfId="0" applyFont="1" applyFill="1" applyAlignment="1">
      <alignment/>
    </xf>
    <xf numFmtId="0" fontId="7" fillId="0" borderId="10" xfId="0" applyFont="1" applyFill="1" applyBorder="1" applyAlignment="1">
      <alignment vertical="top" wrapText="1"/>
    </xf>
    <xf numFmtId="0" fontId="7" fillId="0" borderId="10" xfId="58" applyFont="1" applyFill="1" applyBorder="1" applyAlignment="1">
      <alignment horizontal="left" wrapText="1"/>
      <protection/>
    </xf>
    <xf numFmtId="0" fontId="7" fillId="0" borderId="13" xfId="0" applyFont="1" applyFill="1" applyBorder="1" applyAlignment="1">
      <alignment wrapText="1"/>
    </xf>
    <xf numFmtId="0" fontId="7" fillId="0" borderId="14" xfId="0" applyFont="1" applyFill="1" applyBorder="1" applyAlignment="1">
      <alignment wrapText="1"/>
    </xf>
    <xf numFmtId="181" fontId="15" fillId="0" borderId="10" xfId="42" applyNumberFormat="1" applyFont="1" applyFill="1" applyBorder="1" applyAlignment="1">
      <alignment wrapText="1"/>
    </xf>
    <xf numFmtId="181" fontId="55" fillId="34" borderId="10" xfId="42" applyNumberFormat="1" applyFont="1" applyFill="1" applyBorder="1" applyAlignment="1" applyProtection="1">
      <alignment horizontal="center" vertical="center" wrapText="1"/>
      <protection/>
    </xf>
    <xf numFmtId="9" fontId="53" fillId="34" borderId="10" xfId="42" applyNumberFormat="1" applyFont="1" applyFill="1" applyBorder="1" applyAlignment="1">
      <alignment vertical="center"/>
    </xf>
    <xf numFmtId="49" fontId="44" fillId="0" borderId="0" xfId="57" applyNumberFormat="1" applyFont="1" applyFill="1" applyAlignment="1">
      <alignment/>
      <protection/>
    </xf>
    <xf numFmtId="0" fontId="44" fillId="0" borderId="10" xfId="58" applyFont="1" applyFill="1" applyBorder="1" applyAlignment="1">
      <alignment horizontal="center" wrapText="1"/>
      <protection/>
    </xf>
    <xf numFmtId="0" fontId="44" fillId="0" borderId="10" xfId="0" applyFont="1" applyFill="1" applyBorder="1" applyAlignment="1">
      <alignment wrapText="1"/>
    </xf>
    <xf numFmtId="0" fontId="44" fillId="0" borderId="10" xfId="0" applyFont="1" applyFill="1" applyBorder="1" applyAlignment="1" applyProtection="1">
      <alignment vertical="center" wrapText="1"/>
      <protection locked="0"/>
    </xf>
    <xf numFmtId="0" fontId="44" fillId="0" borderId="10" xfId="58" applyFont="1" applyFill="1" applyBorder="1" applyAlignment="1">
      <alignment wrapText="1"/>
      <protection/>
    </xf>
    <xf numFmtId="181" fontId="44" fillId="0" borderId="10" xfId="42" applyNumberFormat="1" applyFont="1" applyFill="1" applyBorder="1" applyAlignment="1">
      <alignment horizontal="left" wrapText="1"/>
    </xf>
    <xf numFmtId="181" fontId="44" fillId="0" borderId="10" xfId="42" applyNumberFormat="1" applyFont="1" applyFill="1" applyBorder="1" applyAlignment="1">
      <alignment wrapText="1"/>
    </xf>
    <xf numFmtId="181" fontId="61" fillId="0" borderId="0" xfId="42" applyNumberFormat="1" applyFont="1" applyAlignment="1">
      <alignment/>
    </xf>
    <xf numFmtId="181" fontId="62" fillId="0" borderId="0" xfId="42" applyNumberFormat="1" applyFont="1" applyAlignment="1">
      <alignment vertical="center"/>
    </xf>
    <xf numFmtId="181" fontId="27" fillId="0" borderId="10" xfId="42" applyNumberFormat="1" applyFont="1" applyFill="1" applyBorder="1" applyAlignment="1">
      <alignment horizontal="right" vertical="center"/>
    </xf>
    <xf numFmtId="181" fontId="49" fillId="0" borderId="10" xfId="42" applyNumberFormat="1" applyFont="1" applyFill="1" applyBorder="1" applyAlignment="1">
      <alignment/>
    </xf>
    <xf numFmtId="181" fontId="27" fillId="0" borderId="10" xfId="42" applyNumberFormat="1" applyFont="1" applyFill="1" applyBorder="1" applyAlignment="1">
      <alignment horizontal="right" vertical="center"/>
    </xf>
    <xf numFmtId="181" fontId="27" fillId="0" borderId="10" xfId="42" applyNumberFormat="1" applyFont="1" applyFill="1" applyBorder="1" applyAlignment="1">
      <alignment horizontal="right" vertical="center" wrapText="1"/>
    </xf>
    <xf numFmtId="181" fontId="29" fillId="0" borderId="10" xfId="42" applyNumberFormat="1" applyFont="1" applyFill="1" applyBorder="1" applyAlignment="1">
      <alignment horizontal="center" vertical="center" wrapText="1"/>
    </xf>
    <xf numFmtId="181" fontId="29" fillId="0" borderId="0" xfId="42" applyNumberFormat="1" applyFont="1" applyFill="1" applyAlignment="1">
      <alignment/>
    </xf>
    <xf numFmtId="0" fontId="15" fillId="39" borderId="0" xfId="0" applyFont="1" applyFill="1" applyAlignment="1">
      <alignment/>
    </xf>
    <xf numFmtId="0" fontId="15" fillId="40" borderId="0" xfId="0" applyFont="1" applyFill="1" applyAlignment="1">
      <alignment/>
    </xf>
    <xf numFmtId="181" fontId="7" fillId="0" borderId="13" xfId="42" applyNumberFormat="1" applyFont="1" applyFill="1" applyBorder="1" applyAlignment="1">
      <alignment horizontal="right" vertical="top" wrapText="1"/>
    </xf>
    <xf numFmtId="181" fontId="49" fillId="0" borderId="10" xfId="42" applyNumberFormat="1" applyFont="1" applyFill="1" applyBorder="1" applyAlignment="1">
      <alignment horizontal="center" vertical="center" wrapText="1"/>
    </xf>
    <xf numFmtId="181" fontId="0" fillId="0" borderId="10" xfId="42" applyNumberFormat="1" applyFont="1" applyFill="1" applyBorder="1" applyAlignment="1">
      <alignment horizontal="center" vertical="center" wrapText="1"/>
    </xf>
    <xf numFmtId="181" fontId="3" fillId="0" borderId="10" xfId="42" applyNumberFormat="1" applyFont="1" applyFill="1" applyBorder="1" applyAlignment="1">
      <alignment horizontal="center" vertical="center" wrapText="1"/>
    </xf>
    <xf numFmtId="181" fontId="7" fillId="0" borderId="10" xfId="42" applyNumberFormat="1" applyFont="1" applyFill="1" applyBorder="1" applyAlignment="1">
      <alignment horizontal="center" vertical="center"/>
    </xf>
    <xf numFmtId="181" fontId="0" fillId="0" borderId="10" xfId="42" applyNumberFormat="1" applyFont="1" applyBorder="1" applyAlignment="1">
      <alignment horizontal="center"/>
    </xf>
    <xf numFmtId="181" fontId="7" fillId="0" borderId="10" xfId="42" applyNumberFormat="1" applyFont="1" applyBorder="1" applyAlignment="1">
      <alignment horizontal="center" wrapText="1"/>
    </xf>
    <xf numFmtId="181" fontId="6" fillId="0" borderId="10" xfId="42" applyNumberFormat="1" applyFont="1" applyFill="1" applyBorder="1" applyAlignment="1">
      <alignment horizontal="center" vertical="center" wrapText="1"/>
    </xf>
    <xf numFmtId="181" fontId="12" fillId="0" borderId="10" xfId="42" applyNumberFormat="1" applyFont="1" applyFill="1" applyBorder="1" applyAlignment="1">
      <alignment horizontal="center" vertical="center" wrapText="1"/>
    </xf>
    <xf numFmtId="181" fontId="7" fillId="0" borderId="10" xfId="42" applyNumberFormat="1" applyFont="1" applyFill="1" applyBorder="1" applyAlignment="1">
      <alignment horizontal="right" vertical="center" wrapText="1"/>
    </xf>
    <xf numFmtId="181" fontId="22" fillId="0" borderId="10" xfId="42" applyNumberFormat="1" applyFont="1" applyFill="1" applyBorder="1" applyAlignment="1">
      <alignment horizontal="right" vertical="center" wrapText="1"/>
    </xf>
    <xf numFmtId="181" fontId="7" fillId="0" borderId="10" xfId="42" applyNumberFormat="1" applyFont="1" applyFill="1" applyBorder="1" applyAlignment="1">
      <alignment horizontal="right" vertical="center"/>
    </xf>
    <xf numFmtId="181" fontId="7" fillId="0" borderId="10" xfId="42" applyNumberFormat="1" applyFont="1" applyFill="1" applyBorder="1" applyAlignment="1">
      <alignment horizontal="center" vertical="center"/>
    </xf>
    <xf numFmtId="181" fontId="33" fillId="0" borderId="10" xfId="42" applyNumberFormat="1" applyFont="1" applyFill="1" applyBorder="1" applyAlignment="1">
      <alignment horizontal="right"/>
    </xf>
    <xf numFmtId="181" fontId="27" fillId="0" borderId="10" xfId="42" applyNumberFormat="1" applyFont="1" applyFill="1" applyBorder="1" applyAlignment="1">
      <alignment horizontal="right"/>
    </xf>
    <xf numFmtId="181" fontId="22" fillId="0" borderId="10" xfId="42" applyNumberFormat="1" applyFont="1" applyFill="1" applyBorder="1" applyAlignment="1">
      <alignment horizontal="right" vertical="center" wrapText="1"/>
    </xf>
    <xf numFmtId="181" fontId="22" fillId="0" borderId="10" xfId="42" applyNumberFormat="1" applyFont="1" applyFill="1" applyBorder="1" applyAlignment="1" applyProtection="1">
      <alignment horizontal="right" vertical="center" wrapText="1"/>
      <protection locked="0"/>
    </xf>
    <xf numFmtId="181" fontId="7" fillId="0" borderId="10" xfId="42" applyNumberFormat="1" applyFont="1" applyFill="1" applyBorder="1" applyAlignment="1" applyProtection="1">
      <alignment horizontal="right"/>
      <protection/>
    </xf>
    <xf numFmtId="181" fontId="27" fillId="0" borderId="15" xfId="42" applyNumberFormat="1" applyFont="1" applyFill="1" applyBorder="1" applyAlignment="1">
      <alignment horizontal="right" vertical="center"/>
    </xf>
    <xf numFmtId="181" fontId="27" fillId="0" borderId="10" xfId="42" applyNumberFormat="1" applyFont="1" applyFill="1" applyBorder="1" applyAlignment="1">
      <alignment horizontal="right" vertical="center"/>
    </xf>
    <xf numFmtId="181" fontId="63" fillId="0" borderId="10" xfId="42" applyNumberFormat="1" applyFont="1" applyFill="1" applyBorder="1" applyAlignment="1">
      <alignment horizontal="right" vertical="center"/>
    </xf>
    <xf numFmtId="181" fontId="7" fillId="0" borderId="10" xfId="42" applyNumberFormat="1" applyFont="1" applyFill="1" applyBorder="1" applyAlignment="1" applyProtection="1">
      <alignment horizontal="right" vertical="center" wrapText="1"/>
      <protection locked="0"/>
    </xf>
    <xf numFmtId="181" fontId="7" fillId="0" borderId="16" xfId="42" applyNumberFormat="1" applyFont="1" applyFill="1" applyBorder="1" applyAlignment="1">
      <alignment horizontal="right"/>
    </xf>
    <xf numFmtId="197" fontId="15" fillId="0" borderId="0" xfId="57" applyNumberFormat="1" applyFont="1" applyFill="1" applyAlignment="1">
      <alignment/>
      <protection/>
    </xf>
    <xf numFmtId="181" fontId="7" fillId="34" borderId="13" xfId="42" applyNumberFormat="1" applyFont="1" applyFill="1" applyBorder="1" applyAlignment="1">
      <alignment vertical="top" wrapText="1"/>
    </xf>
    <xf numFmtId="181" fontId="7" fillId="34" borderId="12" xfId="42" applyNumberFormat="1" applyFont="1" applyFill="1" applyBorder="1" applyAlignment="1" quotePrefix="1">
      <alignment horizontal="right" vertical="center"/>
    </xf>
    <xf numFmtId="181" fontId="7" fillId="0" borderId="15" xfId="42" applyNumberFormat="1" applyFont="1" applyFill="1" applyBorder="1" applyAlignment="1">
      <alignment horizontal="right" vertical="center"/>
    </xf>
    <xf numFmtId="181" fontId="7" fillId="0" borderId="10" xfId="42" applyNumberFormat="1" applyFont="1" applyFill="1" applyBorder="1" applyAlignment="1">
      <alignment vertical="top" wrapText="1"/>
    </xf>
    <xf numFmtId="0" fontId="14" fillId="0" borderId="0" xfId="0" applyFont="1" applyAlignment="1">
      <alignment horizontal="center"/>
    </xf>
    <xf numFmtId="0" fontId="14" fillId="0" borderId="0" xfId="0" applyFont="1" applyAlignment="1">
      <alignment/>
    </xf>
    <xf numFmtId="0" fontId="3" fillId="0" borderId="0" xfId="0" applyFont="1" applyFill="1" applyBorder="1" applyAlignment="1">
      <alignment/>
    </xf>
    <xf numFmtId="0" fontId="14" fillId="0" borderId="0" xfId="0" applyFont="1" applyFill="1" applyAlignment="1">
      <alignment/>
    </xf>
    <xf numFmtId="0" fontId="15" fillId="0" borderId="11" xfId="58" applyFont="1" applyFill="1" applyBorder="1" applyAlignment="1">
      <alignment horizontal="center" wrapText="1"/>
      <protection/>
    </xf>
    <xf numFmtId="0" fontId="15" fillId="0" borderId="11" xfId="0" applyFont="1" applyFill="1" applyBorder="1" applyAlignment="1" applyProtection="1">
      <alignment vertical="center" wrapText="1"/>
      <protection locked="0"/>
    </xf>
    <xf numFmtId="181" fontId="7" fillId="34" borderId="11" xfId="42" applyNumberFormat="1" applyFont="1" applyFill="1" applyBorder="1" applyAlignment="1">
      <alignment horizontal="right" vertical="center"/>
    </xf>
    <xf numFmtId="9" fontId="7" fillId="34" borderId="11" xfId="0" applyNumberFormat="1" applyFont="1" applyFill="1" applyBorder="1" applyAlignment="1">
      <alignment/>
    </xf>
    <xf numFmtId="181" fontId="0" fillId="0" borderId="0" xfId="42" applyNumberFormat="1" applyFont="1" applyAlignment="1">
      <alignment/>
    </xf>
    <xf numFmtId="181" fontId="15" fillId="0" borderId="10" xfId="42" applyNumberFormat="1" applyFont="1" applyFill="1" applyBorder="1" applyAlignment="1">
      <alignment horizontal="center" vertical="center" wrapText="1"/>
    </xf>
    <xf numFmtId="181" fontId="7" fillId="35" borderId="10" xfId="42" applyNumberFormat="1" applyFont="1" applyFill="1" applyBorder="1" applyAlignment="1">
      <alignment horizontal="right" vertical="center"/>
    </xf>
    <xf numFmtId="181" fontId="7" fillId="35" borderId="10" xfId="42" applyNumberFormat="1" applyFont="1" applyFill="1" applyBorder="1" applyAlignment="1">
      <alignment/>
    </xf>
    <xf numFmtId="181" fontId="7" fillId="35" borderId="10" xfId="42" applyNumberFormat="1" applyFont="1" applyFill="1" applyBorder="1" applyAlignment="1" quotePrefix="1">
      <alignment horizontal="right" vertical="center"/>
    </xf>
    <xf numFmtId="181" fontId="7" fillId="35" borderId="10" xfId="42" applyNumberFormat="1" applyFont="1" applyFill="1" applyBorder="1" applyAlignment="1">
      <alignment horizontal="right" vertical="center"/>
    </xf>
    <xf numFmtId="181" fontId="7" fillId="35" borderId="10" xfId="42" applyNumberFormat="1" applyFont="1" applyFill="1" applyBorder="1" applyAlignment="1">
      <alignment horizontal="right"/>
    </xf>
    <xf numFmtId="0" fontId="27" fillId="0" borderId="10" xfId="0" applyFont="1" applyBorder="1" applyAlignment="1">
      <alignment/>
    </xf>
    <xf numFmtId="181" fontId="7" fillId="36" borderId="10" xfId="42" applyNumberFormat="1" applyFont="1" applyFill="1" applyBorder="1" applyAlignment="1">
      <alignment/>
    </xf>
    <xf numFmtId="0" fontId="27" fillId="0" borderId="10" xfId="0" applyFont="1" applyBorder="1" applyAlignment="1">
      <alignment horizontal="right"/>
    </xf>
    <xf numFmtId="181" fontId="27" fillId="35" borderId="10" xfId="42" applyNumberFormat="1" applyFont="1" applyFill="1" applyBorder="1" applyAlignment="1">
      <alignment horizontal="right" vertical="center"/>
    </xf>
    <xf numFmtId="49" fontId="7" fillId="0" borderId="17" xfId="57" applyNumberFormat="1" applyFont="1" applyFill="1" applyBorder="1" applyAlignment="1">
      <alignment/>
      <protection/>
    </xf>
    <xf numFmtId="43" fontId="7" fillId="0" borderId="0" xfId="42" applyFont="1" applyFill="1" applyAlignment="1">
      <alignment/>
    </xf>
    <xf numFmtId="181" fontId="15" fillId="39" borderId="0" xfId="42" applyNumberFormat="1" applyFont="1" applyFill="1" applyAlignment="1">
      <alignment/>
    </xf>
    <xf numFmtId="181" fontId="7" fillId="37" borderId="10" xfId="42" applyNumberFormat="1" applyFont="1" applyFill="1" applyBorder="1" applyAlignment="1">
      <alignment horizontal="right" vertical="center"/>
    </xf>
    <xf numFmtId="181" fontId="7" fillId="37" borderId="10" xfId="42" applyNumberFormat="1" applyFont="1" applyFill="1" applyBorder="1" applyAlignment="1">
      <alignment horizontal="right" vertical="center"/>
    </xf>
    <xf numFmtId="181" fontId="27" fillId="37" borderId="10" xfId="42" applyNumberFormat="1" applyFont="1" applyFill="1" applyBorder="1" applyAlignment="1">
      <alignment horizontal="right" vertical="center"/>
    </xf>
    <xf numFmtId="181" fontId="7" fillId="37" borderId="10" xfId="42" applyNumberFormat="1" applyFont="1" applyFill="1" applyBorder="1" applyAlignment="1">
      <alignment horizontal="right" vertical="center" wrapText="1"/>
    </xf>
    <xf numFmtId="181" fontId="7" fillId="35" borderId="10" xfId="42" applyNumberFormat="1" applyFont="1" applyFill="1" applyBorder="1" applyAlignment="1">
      <alignment horizontal="right" vertical="center" wrapText="1"/>
    </xf>
    <xf numFmtId="1" fontId="20" fillId="0" borderId="0" xfId="42" applyNumberFormat="1" applyFont="1" applyFill="1" applyAlignment="1">
      <alignment horizontal="left" vertical="top"/>
    </xf>
    <xf numFmtId="1" fontId="19" fillId="0" borderId="0" xfId="42" applyNumberFormat="1" applyFont="1" applyFill="1" applyAlignment="1">
      <alignment horizontal="center"/>
    </xf>
    <xf numFmtId="1" fontId="0" fillId="0" borderId="0" xfId="42" applyNumberFormat="1" applyFont="1" applyAlignment="1">
      <alignment/>
    </xf>
    <xf numFmtId="1" fontId="15" fillId="0" borderId="0" xfId="42" applyNumberFormat="1" applyFont="1" applyFill="1" applyAlignment="1">
      <alignment/>
    </xf>
    <xf numFmtId="181" fontId="7" fillId="36" borderId="10" xfId="42" applyNumberFormat="1" applyFont="1" applyFill="1" applyBorder="1" applyAlignment="1">
      <alignment horizontal="right"/>
    </xf>
    <xf numFmtId="181" fontId="7" fillId="36" borderId="0" xfId="42" applyNumberFormat="1" applyFont="1" applyFill="1" applyAlignment="1">
      <alignment horizontal="right"/>
    </xf>
    <xf numFmtId="181" fontId="27" fillId="36" borderId="10" xfId="42" applyNumberFormat="1" applyFont="1" applyFill="1" applyBorder="1" applyAlignment="1">
      <alignment horizontal="right" vertical="center"/>
    </xf>
    <xf numFmtId="181" fontId="27" fillId="35" borderId="10" xfId="42" applyNumberFormat="1" applyFont="1" applyFill="1" applyBorder="1" applyAlignment="1">
      <alignment horizontal="right" vertical="center"/>
    </xf>
    <xf numFmtId="181" fontId="15" fillId="0" borderId="0" xfId="42" applyNumberFormat="1" applyFont="1" applyFill="1" applyBorder="1" applyAlignment="1">
      <alignment horizontal="center" vertical="center"/>
    </xf>
    <xf numFmtId="181" fontId="27" fillId="34" borderId="10" xfId="42" applyNumberFormat="1" applyFont="1" applyFill="1" applyBorder="1" applyAlignment="1">
      <alignment horizontal="right" vertical="center"/>
    </xf>
    <xf numFmtId="0" fontId="49" fillId="0" borderId="0" xfId="0" applyFont="1" applyFill="1" applyAlignment="1">
      <alignment/>
    </xf>
    <xf numFmtId="0" fontId="27" fillId="37" borderId="10" xfId="0" applyFont="1" applyFill="1" applyBorder="1" applyAlignment="1">
      <alignment wrapText="1"/>
    </xf>
    <xf numFmtId="0" fontId="44" fillId="37" borderId="10" xfId="0" applyFont="1" applyFill="1" applyBorder="1" applyAlignment="1" applyProtection="1">
      <alignment vertical="center" wrapText="1"/>
      <protection locked="0"/>
    </xf>
    <xf numFmtId="0" fontId="15" fillId="37" borderId="10" xfId="0" applyFont="1" applyFill="1" applyBorder="1" applyAlignment="1">
      <alignment wrapText="1"/>
    </xf>
    <xf numFmtId="181" fontId="27" fillId="0" borderId="10" xfId="42" applyNumberFormat="1" applyFont="1" applyFill="1" applyBorder="1" applyAlignment="1">
      <alignment horizontal="right" vertical="center" wrapText="1"/>
    </xf>
    <xf numFmtId="181" fontId="7" fillId="0" borderId="10" xfId="42" applyNumberFormat="1" applyFont="1" applyFill="1" applyBorder="1" applyAlignment="1" quotePrefix="1">
      <alignment horizontal="right" vertical="center"/>
    </xf>
    <xf numFmtId="181" fontId="7" fillId="37" borderId="0" xfId="42" applyNumberFormat="1" applyFont="1" applyFill="1" applyAlignment="1">
      <alignment horizontal="right" vertical="center"/>
    </xf>
    <xf numFmtId="181" fontId="0" fillId="0" borderId="0" xfId="0" applyNumberFormat="1" applyAlignment="1">
      <alignment/>
    </xf>
    <xf numFmtId="181" fontId="7" fillId="0" borderId="10" xfId="42" applyNumberFormat="1" applyFont="1" applyFill="1" applyBorder="1" applyAlignment="1">
      <alignment/>
    </xf>
    <xf numFmtId="181" fontId="3" fillId="0" borderId="0" xfId="0" applyNumberFormat="1" applyFont="1" applyBorder="1" applyAlignment="1">
      <alignment/>
    </xf>
    <xf numFmtId="181" fontId="7" fillId="35" borderId="13" xfId="42" applyNumberFormat="1" applyFont="1" applyFill="1" applyBorder="1" applyAlignment="1">
      <alignment vertical="top" wrapText="1"/>
    </xf>
    <xf numFmtId="181" fontId="15" fillId="35" borderId="10" xfId="42" applyNumberFormat="1" applyFont="1" applyFill="1" applyBorder="1" applyAlignment="1">
      <alignment/>
    </xf>
    <xf numFmtId="181" fontId="59" fillId="0" borderId="0" xfId="57" applyNumberFormat="1" applyFont="1" applyFill="1" applyAlignment="1">
      <alignment horizontal="center"/>
      <protection/>
    </xf>
    <xf numFmtId="181" fontId="7" fillId="40" borderId="10" xfId="42" applyNumberFormat="1" applyFont="1" applyFill="1" applyBorder="1" applyAlignment="1">
      <alignment horizontal="right" vertical="center"/>
    </xf>
    <xf numFmtId="181" fontId="7" fillId="40" borderId="0" xfId="42" applyNumberFormat="1" applyFont="1" applyFill="1" applyAlignment="1">
      <alignment/>
    </xf>
    <xf numFmtId="181" fontId="33" fillId="35" borderId="10" xfId="42" applyNumberFormat="1" applyFont="1" applyFill="1" applyBorder="1" applyAlignment="1">
      <alignment horizontal="right" vertical="center"/>
    </xf>
    <xf numFmtId="181" fontId="27" fillId="35" borderId="10" xfId="42" applyNumberFormat="1" applyFont="1" applyFill="1" applyBorder="1" applyAlignment="1">
      <alignment horizontal="right" vertical="center" wrapText="1"/>
    </xf>
    <xf numFmtId="181" fontId="7" fillId="37" borderId="10" xfId="42" applyNumberFormat="1" applyFont="1" applyFill="1" applyBorder="1" applyAlignment="1">
      <alignment horizontal="right"/>
    </xf>
    <xf numFmtId="181" fontId="15" fillId="34" borderId="10" xfId="42" applyNumberFormat="1" applyFont="1" applyFill="1" applyBorder="1" applyAlignment="1">
      <alignment vertical="top" wrapText="1"/>
    </xf>
    <xf numFmtId="181" fontId="15" fillId="34" borderId="10" xfId="42" applyNumberFormat="1" applyFont="1" applyFill="1" applyBorder="1" applyAlignment="1" quotePrefix="1">
      <alignment horizontal="right" vertical="center"/>
    </xf>
    <xf numFmtId="181" fontId="7" fillId="37" borderId="10" xfId="42" applyNumberFormat="1" applyFont="1" applyFill="1" applyBorder="1" applyAlignment="1">
      <alignment vertical="top" wrapText="1"/>
    </xf>
    <xf numFmtId="181" fontId="33" fillId="37" borderId="13" xfId="42" applyNumberFormat="1" applyFont="1" applyFill="1" applyBorder="1" applyAlignment="1">
      <alignment horizontal="right" vertical="center" wrapText="1"/>
    </xf>
    <xf numFmtId="181" fontId="33" fillId="37" borderId="10" xfId="42" applyNumberFormat="1" applyFont="1" applyFill="1" applyBorder="1" applyAlignment="1">
      <alignment horizontal="right" vertical="center"/>
    </xf>
    <xf numFmtId="181" fontId="7" fillId="37" borderId="10" xfId="42" applyNumberFormat="1" applyFont="1" applyFill="1" applyBorder="1" applyAlignment="1" quotePrefix="1">
      <alignment horizontal="right" vertical="center"/>
    </xf>
    <xf numFmtId="49" fontId="7" fillId="0" borderId="10" xfId="42" applyNumberFormat="1" applyFont="1" applyFill="1" applyBorder="1" applyAlignment="1">
      <alignment horizontal="right"/>
    </xf>
    <xf numFmtId="49" fontId="46" fillId="34" borderId="10" xfId="42" applyNumberFormat="1" applyFont="1" applyFill="1" applyBorder="1" applyAlignment="1" applyProtection="1">
      <alignment horizontal="right" vertical="center" wrapText="1"/>
      <protection/>
    </xf>
    <xf numFmtId="49" fontId="7" fillId="34" borderId="10" xfId="42" applyNumberFormat="1" applyFont="1" applyFill="1" applyBorder="1" applyAlignment="1">
      <alignment horizontal="right"/>
    </xf>
    <xf numFmtId="49" fontId="7" fillId="34" borderId="10" xfId="42" applyNumberFormat="1" applyFont="1" applyFill="1" applyBorder="1" applyAlignment="1">
      <alignment horizontal="right"/>
    </xf>
    <xf numFmtId="49" fontId="7" fillId="0" borderId="10" xfId="42" applyNumberFormat="1" applyFont="1" applyFill="1" applyBorder="1" applyAlignment="1">
      <alignment horizontal="right" vertical="center"/>
    </xf>
    <xf numFmtId="49" fontId="7" fillId="0" borderId="10" xfId="42" applyNumberFormat="1" applyFont="1" applyFill="1" applyBorder="1" applyAlignment="1" quotePrefix="1">
      <alignment horizontal="right" vertical="center"/>
    </xf>
    <xf numFmtId="49" fontId="7" fillId="0" borderId="10" xfId="42" applyNumberFormat="1" applyFont="1" applyFill="1" applyBorder="1" applyAlignment="1">
      <alignment/>
    </xf>
    <xf numFmtId="49" fontId="34" fillId="34" borderId="10" xfId="42" applyNumberFormat="1" applyFont="1" applyFill="1" applyBorder="1" applyAlignment="1" applyProtection="1">
      <alignment horizontal="center" vertical="center" wrapText="1"/>
      <protection/>
    </xf>
    <xf numFmtId="49" fontId="60" fillId="34" borderId="10" xfId="42" applyNumberFormat="1" applyFont="1" applyFill="1" applyBorder="1" applyAlignment="1" applyProtection="1">
      <alignment horizontal="center" vertical="center" wrapText="1"/>
      <protection/>
    </xf>
    <xf numFmtId="49" fontId="15" fillId="0" borderId="10" xfId="42" applyNumberFormat="1" applyFont="1" applyFill="1" applyBorder="1" applyAlignment="1">
      <alignment vertical="top" wrapText="1"/>
    </xf>
    <xf numFmtId="49" fontId="15" fillId="34" borderId="10" xfId="42" applyNumberFormat="1" applyFont="1" applyFill="1" applyBorder="1" applyAlignment="1" quotePrefix="1">
      <alignment horizontal="right" vertical="center"/>
    </xf>
    <xf numFmtId="49" fontId="15" fillId="0" borderId="10" xfId="42" applyNumberFormat="1" applyFont="1" applyFill="1" applyBorder="1" applyAlignment="1">
      <alignment horizontal="right" vertical="center"/>
    </xf>
    <xf numFmtId="49" fontId="15" fillId="0" borderId="10" xfId="42" applyNumberFormat="1" applyFont="1" applyFill="1" applyBorder="1" applyAlignment="1" quotePrefix="1">
      <alignment horizontal="right" vertical="center"/>
    </xf>
    <xf numFmtId="49" fontId="51" fillId="0" borderId="10" xfId="42" applyNumberFormat="1" applyFont="1" applyFill="1" applyBorder="1" applyAlignment="1" quotePrefix="1">
      <alignment horizontal="right" vertical="center"/>
    </xf>
    <xf numFmtId="49" fontId="7" fillId="0" borderId="10" xfId="42" applyNumberFormat="1" applyFont="1" applyFill="1" applyBorder="1" applyAlignment="1">
      <alignment vertical="top" wrapText="1"/>
    </xf>
    <xf numFmtId="49" fontId="7" fillId="35" borderId="10" xfId="42" applyNumberFormat="1" applyFont="1" applyFill="1" applyBorder="1" applyAlignment="1">
      <alignment horizontal="right" vertical="center"/>
    </xf>
    <xf numFmtId="49" fontId="7" fillId="34" borderId="10" xfId="42" applyNumberFormat="1" applyFont="1" applyFill="1" applyBorder="1" applyAlignment="1" quotePrefix="1">
      <alignment horizontal="right" vertical="center"/>
    </xf>
    <xf numFmtId="49" fontId="7" fillId="35" borderId="10" xfId="42" applyNumberFormat="1" applyFont="1" applyFill="1" applyBorder="1" applyAlignment="1" quotePrefix="1">
      <alignment horizontal="right" vertical="center"/>
    </xf>
    <xf numFmtId="49" fontId="7" fillId="0" borderId="10" xfId="42" applyNumberFormat="1" applyFont="1" applyFill="1" applyBorder="1" applyAlignment="1">
      <alignment horizontal="right" vertical="center"/>
    </xf>
    <xf numFmtId="49" fontId="7" fillId="35" borderId="10" xfId="42" applyNumberFormat="1" applyFont="1" applyFill="1" applyBorder="1" applyAlignment="1">
      <alignment/>
    </xf>
    <xf numFmtId="49" fontId="7" fillId="36" borderId="10" xfId="42" applyNumberFormat="1" applyFont="1" applyFill="1" applyBorder="1" applyAlignment="1">
      <alignment/>
    </xf>
    <xf numFmtId="49" fontId="7" fillId="34" borderId="10" xfId="42" applyNumberFormat="1" applyFont="1" applyFill="1" applyBorder="1" applyAlignment="1">
      <alignment horizontal="right" vertical="center"/>
    </xf>
    <xf numFmtId="181" fontId="33" fillId="37" borderId="10" xfId="42" applyNumberFormat="1" applyFont="1" applyFill="1" applyBorder="1" applyAlignment="1">
      <alignment horizontal="right" vertical="center" wrapText="1"/>
    </xf>
    <xf numFmtId="49" fontId="7" fillId="35" borderId="10" xfId="42" applyNumberFormat="1" applyFont="1" applyFill="1" applyBorder="1" applyAlignment="1">
      <alignment horizontal="right"/>
    </xf>
    <xf numFmtId="49" fontId="27" fillId="35" borderId="10" xfId="42" applyNumberFormat="1" applyFont="1" applyFill="1" applyBorder="1" applyAlignment="1">
      <alignment horizontal="right" vertical="center"/>
    </xf>
    <xf numFmtId="49" fontId="57" fillId="34" borderId="10" xfId="42" applyNumberFormat="1" applyFont="1" applyFill="1" applyBorder="1" applyAlignment="1" applyProtection="1">
      <alignment horizontal="center" vertical="center" wrapText="1"/>
      <protection/>
    </xf>
    <xf numFmtId="49" fontId="27" fillId="34" borderId="10" xfId="42" applyNumberFormat="1" applyFont="1" applyFill="1" applyBorder="1" applyAlignment="1">
      <alignment/>
    </xf>
    <xf numFmtId="49" fontId="27" fillId="0" borderId="10" xfId="42" applyNumberFormat="1" applyFont="1" applyFill="1" applyBorder="1" applyAlignment="1">
      <alignment/>
    </xf>
    <xf numFmtId="49" fontId="0" fillId="0" borderId="10" xfId="42" applyNumberFormat="1" applyFont="1" applyFill="1" applyBorder="1" applyAlignment="1">
      <alignment/>
    </xf>
    <xf numFmtId="49" fontId="0" fillId="34" borderId="10" xfId="42" applyNumberFormat="1" applyFont="1" applyFill="1" applyBorder="1" applyAlignment="1">
      <alignment/>
    </xf>
    <xf numFmtId="49" fontId="7" fillId="34" borderId="10" xfId="42" applyNumberFormat="1" applyFont="1" applyFill="1" applyBorder="1" applyAlignment="1">
      <alignment horizontal="right" vertical="center"/>
    </xf>
    <xf numFmtId="49" fontId="7" fillId="34" borderId="10" xfId="42" applyNumberFormat="1" applyFont="1" applyFill="1" applyBorder="1" applyAlignment="1">
      <alignment horizontal="right" vertical="center" wrapText="1"/>
    </xf>
    <xf numFmtId="49" fontId="46" fillId="34" borderId="10" xfId="42" applyNumberFormat="1" applyFont="1" applyFill="1" applyBorder="1" applyAlignment="1" applyProtection="1">
      <alignment horizontal="center" vertical="center" wrapText="1"/>
      <protection/>
    </xf>
    <xf numFmtId="49" fontId="14" fillId="34" borderId="10" xfId="42" applyNumberFormat="1" applyFont="1" applyFill="1" applyBorder="1" applyAlignment="1">
      <alignment horizontal="right" vertical="center"/>
    </xf>
    <xf numFmtId="49" fontId="27" fillId="34" borderId="10" xfId="42" applyNumberFormat="1" applyFont="1" applyFill="1" applyBorder="1" applyAlignment="1">
      <alignment horizontal="right" vertical="center" wrapText="1"/>
    </xf>
    <xf numFmtId="49" fontId="7" fillId="0" borderId="10" xfId="42" applyNumberFormat="1" applyFont="1" applyFill="1" applyBorder="1" applyAlignment="1">
      <alignment horizontal="center" vertical="center" wrapText="1"/>
    </xf>
    <xf numFmtId="49" fontId="27" fillId="34" borderId="10" xfId="42" applyNumberFormat="1" applyFont="1" applyFill="1" applyBorder="1" applyAlignment="1">
      <alignment horizontal="right" vertical="center"/>
    </xf>
    <xf numFmtId="49" fontId="50" fillId="0" borderId="10" xfId="42" applyNumberFormat="1" applyFont="1" applyFill="1" applyBorder="1" applyAlignment="1">
      <alignment horizontal="right" vertical="center" wrapText="1"/>
    </xf>
    <xf numFmtId="181" fontId="34" fillId="35" borderId="10" xfId="42" applyNumberFormat="1" applyFont="1" applyFill="1" applyBorder="1" applyAlignment="1" applyProtection="1">
      <alignment horizontal="center" vertical="center" wrapText="1"/>
      <protection/>
    </xf>
    <xf numFmtId="181" fontId="57" fillId="35" borderId="10" xfId="42" applyNumberFormat="1" applyFont="1" applyFill="1" applyBorder="1" applyAlignment="1" applyProtection="1">
      <alignment horizontal="right" vertical="center" wrapText="1"/>
      <protection/>
    </xf>
    <xf numFmtId="181" fontId="27" fillId="35" borderId="10" xfId="42" applyNumberFormat="1" applyFont="1" applyFill="1" applyBorder="1" applyAlignment="1" applyProtection="1">
      <alignment horizontal="right" vertical="center" wrapText="1"/>
      <protection/>
    </xf>
    <xf numFmtId="0" fontId="29" fillId="0" borderId="13" xfId="58" applyFont="1" applyFill="1" applyBorder="1" applyAlignment="1">
      <alignment horizontal="left" wrapText="1"/>
      <protection/>
    </xf>
    <xf numFmtId="0" fontId="29" fillId="0" borderId="14" xfId="58" applyFont="1" applyFill="1" applyBorder="1" applyAlignment="1">
      <alignment horizontal="left" wrapText="1"/>
      <protection/>
    </xf>
    <xf numFmtId="180" fontId="29" fillId="0" borderId="15" xfId="0" applyNumberFormat="1" applyFont="1" applyFill="1" applyBorder="1" applyAlignment="1">
      <alignment horizontal="center" vertical="center" wrapText="1"/>
    </xf>
    <xf numFmtId="180" fontId="29" fillId="0" borderId="16" xfId="0" applyNumberFormat="1" applyFont="1" applyFill="1" applyBorder="1" applyAlignment="1">
      <alignment horizontal="center" vertical="center" wrapText="1"/>
    </xf>
    <xf numFmtId="180" fontId="29" fillId="0" borderId="11" xfId="0" applyNumberFormat="1"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0" fillId="0" borderId="11" xfId="0" applyBorder="1" applyAlignment="1">
      <alignment horizontal="center" vertical="center" wrapText="1"/>
    </xf>
    <xf numFmtId="0" fontId="15" fillId="0" borderId="10" xfId="0" applyFont="1" applyFill="1" applyBorder="1" applyAlignment="1">
      <alignment horizontal="center" vertical="center" wrapText="1"/>
    </xf>
    <xf numFmtId="0" fontId="4" fillId="0" borderId="0" xfId="0" applyFont="1" applyFill="1" applyAlignment="1">
      <alignment horizontal="center" wrapText="1"/>
    </xf>
    <xf numFmtId="0" fontId="17" fillId="0" borderId="0" xfId="0" applyFont="1" applyFill="1" applyAlignment="1">
      <alignment horizontal="center"/>
    </xf>
    <xf numFmtId="0" fontId="18" fillId="0" borderId="0" xfId="0" applyFont="1" applyFill="1" applyAlignment="1">
      <alignment horizontal="center"/>
    </xf>
    <xf numFmtId="0" fontId="15" fillId="0" borderId="11" xfId="0" applyFont="1" applyFill="1" applyBorder="1" applyAlignment="1">
      <alignment horizontal="center" vertical="center" wrapText="1"/>
    </xf>
    <xf numFmtId="180" fontId="29" fillId="0" borderId="10" xfId="0" applyNumberFormat="1" applyFont="1" applyFill="1" applyBorder="1" applyAlignment="1">
      <alignment horizontal="center" vertical="center" wrapText="1"/>
    </xf>
    <xf numFmtId="180" fontId="15" fillId="0" borderId="10" xfId="0" applyNumberFormat="1" applyFont="1" applyFill="1" applyBorder="1" applyAlignment="1">
      <alignment horizontal="center" vertical="center" wrapText="1"/>
    </xf>
    <xf numFmtId="0" fontId="0" fillId="0" borderId="10" xfId="0" applyFont="1" applyFill="1" applyBorder="1" applyAlignment="1">
      <alignment/>
    </xf>
    <xf numFmtId="0" fontId="39" fillId="0" borderId="10" xfId="0" applyFont="1" applyFill="1" applyBorder="1" applyAlignment="1">
      <alignment horizontal="center" vertical="center"/>
    </xf>
    <xf numFmtId="181" fontId="15" fillId="0" borderId="10" xfId="42" applyNumberFormat="1" applyFont="1" applyFill="1" applyBorder="1" applyAlignment="1">
      <alignment horizontal="center" vertical="center" wrapText="1"/>
    </xf>
    <xf numFmtId="0" fontId="17" fillId="0" borderId="0" xfId="0" applyFont="1" applyFill="1" applyAlignment="1">
      <alignment horizontal="center" wrapText="1"/>
    </xf>
    <xf numFmtId="0" fontId="15" fillId="0" borderId="18"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181" fontId="29" fillId="0" borderId="18" xfId="0" applyNumberFormat="1"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29" fillId="0" borderId="10" xfId="58" applyFont="1" applyFill="1" applyBorder="1" applyAlignment="1">
      <alignment horizontal="left" wrapText="1"/>
      <protection/>
    </xf>
    <xf numFmtId="0" fontId="15"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39" fillId="0" borderId="10" xfId="0" applyFont="1" applyFill="1" applyBorder="1" applyAlignment="1">
      <alignment horizontal="center" vertical="center" wrapText="1"/>
    </xf>
    <xf numFmtId="0" fontId="29"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2" xfId="0" applyFont="1" applyBorder="1" applyAlignment="1">
      <alignment horizontal="center" vertical="center" wrapText="1"/>
    </xf>
    <xf numFmtId="0" fontId="53" fillId="0" borderId="13" xfId="57" applyFont="1" applyFill="1" applyBorder="1" applyAlignment="1">
      <alignment horizontal="left" wrapText="1"/>
      <protection/>
    </xf>
    <xf numFmtId="0" fontId="53" fillId="0" borderId="12" xfId="57" applyFont="1" applyFill="1" applyBorder="1" applyAlignment="1">
      <alignment horizontal="left" wrapText="1"/>
      <protection/>
    </xf>
    <xf numFmtId="49" fontId="15" fillId="0" borderId="10" xfId="57" applyNumberFormat="1" applyFont="1" applyFill="1" applyBorder="1" applyAlignment="1">
      <alignment horizontal="center" vertical="center" wrapText="1"/>
      <protection/>
    </xf>
    <xf numFmtId="0" fontId="29" fillId="0" borderId="10" xfId="57" applyFont="1" applyFill="1" applyBorder="1" applyAlignment="1">
      <alignment horizontal="center" vertical="center" wrapText="1"/>
      <protection/>
    </xf>
    <xf numFmtId="0" fontId="15" fillId="0" borderId="10" xfId="57" applyFont="1" applyFill="1" applyBorder="1" applyAlignment="1">
      <alignment horizontal="center" vertical="center" wrapText="1"/>
      <protection/>
    </xf>
    <xf numFmtId="0" fontId="20" fillId="0" borderId="0" xfId="57" applyFont="1" applyFill="1" applyAlignment="1">
      <alignment horizontal="left" vertical="top"/>
      <protection/>
    </xf>
    <xf numFmtId="0" fontId="19" fillId="0" borderId="0" xfId="57" applyFont="1" applyFill="1" applyAlignment="1">
      <alignment horizontal="center" vertical="center"/>
      <protection/>
    </xf>
    <xf numFmtId="49" fontId="29" fillId="0" borderId="18" xfId="57" applyNumberFormat="1" applyFont="1" applyFill="1" applyBorder="1" applyAlignment="1">
      <alignment horizontal="center" vertical="center" wrapText="1"/>
      <protection/>
    </xf>
    <xf numFmtId="49" fontId="29" fillId="0" borderId="19" xfId="57" applyNumberFormat="1" applyFont="1" applyFill="1" applyBorder="1" applyAlignment="1">
      <alignment horizontal="center" vertical="center" wrapText="1"/>
      <protection/>
    </xf>
    <xf numFmtId="49" fontId="29" fillId="0" borderId="20" xfId="57" applyNumberFormat="1" applyFont="1" applyFill="1" applyBorder="1" applyAlignment="1">
      <alignment horizontal="center" vertical="center" wrapText="1"/>
      <protection/>
    </xf>
    <xf numFmtId="49" fontId="29" fillId="0" borderId="21" xfId="57" applyNumberFormat="1" applyFont="1" applyFill="1" applyBorder="1" applyAlignment="1">
      <alignment horizontal="center" vertical="center" wrapText="1"/>
      <protection/>
    </xf>
    <xf numFmtId="49" fontId="29" fillId="0" borderId="22" xfId="57" applyNumberFormat="1" applyFont="1" applyFill="1" applyBorder="1" applyAlignment="1">
      <alignment horizontal="center" vertical="center" wrapText="1"/>
      <protection/>
    </xf>
    <xf numFmtId="49" fontId="29" fillId="0" borderId="23" xfId="57" applyNumberFormat="1" applyFont="1" applyFill="1" applyBorder="1" applyAlignment="1">
      <alignment horizontal="center" vertical="center" wrapText="1"/>
      <protection/>
    </xf>
    <xf numFmtId="0" fontId="29" fillId="0" borderId="10" xfId="57" applyFont="1" applyFill="1" applyBorder="1" applyAlignment="1">
      <alignment horizontal="center" vertical="center"/>
      <protection/>
    </xf>
    <xf numFmtId="0" fontId="20" fillId="0" borderId="0" xfId="57" applyFont="1" applyFill="1" applyAlignment="1">
      <alignment horizontal="center" vertical="center"/>
      <protection/>
    </xf>
    <xf numFmtId="181" fontId="29" fillId="0" borderId="10" xfId="42" applyNumberFormat="1" applyFont="1" applyFill="1" applyBorder="1" applyAlignment="1">
      <alignment horizontal="left"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1" xfId="0" applyFont="1" applyBorder="1" applyAlignment="1">
      <alignment horizontal="center" vertical="center" wrapText="1"/>
    </xf>
    <xf numFmtId="49" fontId="29" fillId="0" borderId="10" xfId="57" applyNumberFormat="1" applyFont="1" applyFill="1" applyBorder="1" applyAlignment="1">
      <alignment horizontal="center" vertical="center" wrapText="1"/>
      <protection/>
    </xf>
    <xf numFmtId="0" fontId="29" fillId="0" borderId="10" xfId="57" applyFont="1" applyFill="1" applyBorder="1" applyAlignment="1">
      <alignment horizontal="left" wrapText="1"/>
      <protection/>
    </xf>
    <xf numFmtId="1" fontId="15" fillId="0" borderId="10" xfId="42" applyNumberFormat="1"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center"/>
    </xf>
    <xf numFmtId="0" fontId="29" fillId="0" borderId="13"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12" xfId="0" applyFont="1" applyFill="1" applyBorder="1" applyAlignment="1">
      <alignment horizontal="center" vertical="center"/>
    </xf>
    <xf numFmtId="0" fontId="29" fillId="0" borderId="10" xfId="0" applyFont="1" applyFill="1" applyBorder="1" applyAlignment="1">
      <alignment horizontal="center" vertical="center" wrapText="1"/>
    </xf>
    <xf numFmtId="0" fontId="15" fillId="0" borderId="10" xfId="0" applyFont="1" applyFill="1" applyBorder="1" applyAlignment="1">
      <alignment horizontal="center" vertical="center"/>
    </xf>
    <xf numFmtId="0" fontId="19" fillId="0" borderId="0" xfId="57" applyFont="1" applyFill="1" applyAlignment="1">
      <alignment horizontal="center"/>
      <protection/>
    </xf>
    <xf numFmtId="49" fontId="29" fillId="0" borderId="10" xfId="0" applyNumberFormat="1" applyFont="1" applyFill="1" applyBorder="1" applyAlignment="1">
      <alignment horizontal="center" vertical="center"/>
    </xf>
    <xf numFmtId="0" fontId="41" fillId="0" borderId="10" xfId="0" applyFont="1" applyFill="1" applyBorder="1" applyAlignment="1">
      <alignment horizontal="center" vertical="center"/>
    </xf>
    <xf numFmtId="185" fontId="29" fillId="0" borderId="10" xfId="0" applyNumberFormat="1" applyFont="1" applyFill="1" applyBorder="1" applyAlignment="1">
      <alignment horizontal="center" vertical="center" wrapText="1"/>
    </xf>
    <xf numFmtId="0" fontId="41" fillId="0" borderId="13" xfId="57" applyFont="1" applyFill="1" applyBorder="1" applyAlignment="1">
      <alignment horizontal="left" vertical="center" wrapText="1"/>
      <protection/>
    </xf>
    <xf numFmtId="0" fontId="41" fillId="0" borderId="12" xfId="57" applyFont="1" applyFill="1" applyBorder="1" applyAlignment="1">
      <alignment horizontal="left" vertical="center" wrapText="1"/>
      <protection/>
    </xf>
    <xf numFmtId="0" fontId="0" fillId="0" borderId="18"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185" fontId="0" fillId="0" borderId="13" xfId="0" applyNumberFormat="1" applyFill="1" applyBorder="1" applyAlignment="1">
      <alignment horizontal="center"/>
    </xf>
    <xf numFmtId="185" fontId="0" fillId="0" borderId="12" xfId="0" applyNumberFormat="1" applyFill="1" applyBorder="1" applyAlignment="1">
      <alignment horizontal="center"/>
    </xf>
    <xf numFmtId="0" fontId="10" fillId="0" borderId="13" xfId="0" applyFont="1" applyFill="1" applyBorder="1" applyAlignment="1">
      <alignment horizontal="center" wrapText="1"/>
    </xf>
    <xf numFmtId="0" fontId="10" fillId="0" borderId="14" xfId="0" applyFont="1" applyFill="1" applyBorder="1" applyAlignment="1">
      <alignment horizontal="center" wrapText="1"/>
    </xf>
    <xf numFmtId="0" fontId="10" fillId="0" borderId="12" xfId="0" applyFont="1" applyFill="1" applyBorder="1" applyAlignment="1">
      <alignment horizontal="center" wrapText="1"/>
    </xf>
    <xf numFmtId="0" fontId="15" fillId="0" borderId="10" xfId="0" applyFont="1" applyFill="1" applyBorder="1" applyAlignment="1">
      <alignment horizontal="center" wrapText="1"/>
    </xf>
    <xf numFmtId="0" fontId="41" fillId="0" borderId="13" xfId="57" applyFont="1" applyFill="1" applyBorder="1" applyAlignment="1">
      <alignment horizontal="left" wrapText="1"/>
      <protection/>
    </xf>
    <xf numFmtId="0" fontId="41" fillId="0" borderId="12" xfId="57" applyFont="1" applyFill="1" applyBorder="1" applyAlignment="1">
      <alignment horizontal="left" wrapText="1"/>
      <protection/>
    </xf>
    <xf numFmtId="181" fontId="29" fillId="0" borderId="10" xfId="42" applyNumberFormat="1" applyFont="1" applyFill="1" applyBorder="1" applyAlignment="1">
      <alignment horizontal="center" vertical="center" wrapText="1"/>
    </xf>
    <xf numFmtId="1" fontId="29" fillId="0" borderId="10" xfId="0" applyNumberFormat="1" applyFont="1" applyFill="1" applyBorder="1" applyAlignment="1">
      <alignment horizontal="center" vertical="center" wrapText="1"/>
    </xf>
    <xf numFmtId="0" fontId="17" fillId="0" borderId="0" xfId="0" applyFont="1" applyFill="1" applyAlignment="1">
      <alignment horizontal="center" vertical="center"/>
    </xf>
    <xf numFmtId="0" fontId="21" fillId="0" borderId="0" xfId="57" applyFont="1" applyFill="1" applyAlignment="1">
      <alignment horizontal="center" vertical="center"/>
      <protection/>
    </xf>
    <xf numFmtId="49" fontId="15" fillId="0" borderId="13"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1" fontId="15" fillId="0" borderId="13" xfId="0" applyNumberFormat="1" applyFont="1" applyFill="1" applyBorder="1" applyAlignment="1">
      <alignment horizontal="center" vertical="center" wrapText="1"/>
    </xf>
    <xf numFmtId="1" fontId="15" fillId="0" borderId="12" xfId="0" applyNumberFormat="1" applyFont="1" applyFill="1" applyBorder="1" applyAlignment="1">
      <alignment horizontal="center" vertical="center" wrapText="1"/>
    </xf>
    <xf numFmtId="49" fontId="29" fillId="0" borderId="13" xfId="0" applyNumberFormat="1" applyFont="1" applyFill="1" applyBorder="1" applyAlignment="1">
      <alignment vertical="center" wrapText="1"/>
    </xf>
    <xf numFmtId="49" fontId="29" fillId="0" borderId="14" xfId="0" applyNumberFormat="1" applyFont="1" applyFill="1" applyBorder="1" applyAlignment="1">
      <alignment vertical="center" wrapText="1"/>
    </xf>
    <xf numFmtId="49" fontId="29" fillId="0" borderId="12" xfId="0" applyNumberFormat="1" applyFont="1" applyFill="1" applyBorder="1" applyAlignment="1">
      <alignment vertical="center" wrapText="1"/>
    </xf>
    <xf numFmtId="49" fontId="29" fillId="0" borderId="15" xfId="0" applyNumberFormat="1" applyFont="1" applyFill="1" applyBorder="1" applyAlignment="1">
      <alignment horizontal="center" vertical="center" wrapText="1"/>
    </xf>
    <xf numFmtId="49" fontId="29" fillId="0" borderId="11" xfId="0" applyNumberFormat="1" applyFont="1" applyFill="1" applyBorder="1" applyAlignment="1">
      <alignment horizontal="center" vertical="center" wrapText="1"/>
    </xf>
    <xf numFmtId="49" fontId="29" fillId="0" borderId="18" xfId="0" applyNumberFormat="1" applyFont="1" applyFill="1" applyBorder="1" applyAlignment="1">
      <alignment horizontal="center" vertical="center" wrapText="1"/>
    </xf>
    <xf numFmtId="49" fontId="29" fillId="0" borderId="24" xfId="0" applyNumberFormat="1" applyFont="1" applyFill="1" applyBorder="1" applyAlignment="1">
      <alignment horizontal="center" vertical="center" wrapText="1"/>
    </xf>
    <xf numFmtId="49" fontId="29" fillId="0" borderId="19" xfId="0" applyNumberFormat="1" applyFont="1" applyFill="1" applyBorder="1" applyAlignment="1">
      <alignment horizontal="center" vertical="center" wrapText="1"/>
    </xf>
    <xf numFmtId="181" fontId="44" fillId="0" borderId="10" xfId="42" applyNumberFormat="1" applyFont="1" applyFill="1" applyBorder="1" applyAlignment="1">
      <alignment horizontal="center" vertical="center" wrapText="1"/>
    </xf>
    <xf numFmtId="181" fontId="44" fillId="0" borderId="15" xfId="42" applyNumberFormat="1" applyFont="1" applyFill="1" applyBorder="1" applyAlignment="1">
      <alignment horizontal="center" vertical="center" wrapText="1"/>
    </xf>
    <xf numFmtId="49" fontId="44" fillId="0" borderId="10" xfId="0" applyNumberFormat="1" applyFont="1" applyFill="1" applyBorder="1" applyAlignment="1">
      <alignment horizontal="center" vertical="center" wrapText="1"/>
    </xf>
    <xf numFmtId="49" fontId="44" fillId="0" borderId="15"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0" borderId="15" xfId="0" applyFont="1" applyBorder="1" applyAlignment="1">
      <alignment horizontal="center" vertical="center" wrapText="1"/>
    </xf>
    <xf numFmtId="181" fontId="15" fillId="0" borderId="10" xfId="42" applyNumberFormat="1" applyFont="1" applyBorder="1" applyAlignment="1">
      <alignment horizontal="center" vertical="center" wrapText="1"/>
    </xf>
    <xf numFmtId="0" fontId="44" fillId="0" borderId="10" xfId="0" applyFont="1" applyBorder="1" applyAlignment="1">
      <alignment horizontal="center"/>
    </xf>
    <xf numFmtId="1" fontId="29" fillId="0" borderId="18" xfId="0" applyNumberFormat="1" applyFont="1" applyFill="1" applyBorder="1" applyAlignment="1">
      <alignment horizontal="center" vertical="center" wrapText="1"/>
    </xf>
    <xf numFmtId="1" fontId="29" fillId="0" borderId="19" xfId="0" applyNumberFormat="1" applyFont="1" applyFill="1" applyBorder="1" applyAlignment="1">
      <alignment horizontal="center" vertical="center" wrapText="1"/>
    </xf>
    <xf numFmtId="1" fontId="29" fillId="0" borderId="20" xfId="0" applyNumberFormat="1" applyFont="1" applyFill="1" applyBorder="1" applyAlignment="1">
      <alignment horizontal="center" vertical="center" wrapText="1"/>
    </xf>
    <xf numFmtId="1" fontId="29" fillId="0" borderId="21" xfId="0" applyNumberFormat="1" applyFont="1" applyFill="1" applyBorder="1" applyAlignment="1">
      <alignment horizontal="center" vertical="center" wrapText="1"/>
    </xf>
    <xf numFmtId="0" fontId="20" fillId="0" borderId="0" xfId="59" applyFont="1" applyFill="1" applyAlignment="1">
      <alignment horizontal="left" vertical="top"/>
      <protection/>
    </xf>
    <xf numFmtId="0" fontId="19" fillId="0" borderId="0" xfId="59" applyFont="1" applyFill="1" applyAlignment="1">
      <alignment horizontal="center" vertical="center"/>
      <protection/>
    </xf>
    <xf numFmtId="0" fontId="21" fillId="0" borderId="0" xfId="59" applyFont="1" applyFill="1" applyAlignment="1">
      <alignment horizontal="center" vertical="center"/>
      <protection/>
    </xf>
    <xf numFmtId="181" fontId="29" fillId="0" borderId="10" xfId="42" applyNumberFormat="1" applyFont="1" applyBorder="1" applyAlignment="1">
      <alignment horizontal="center" vertical="center" wrapText="1"/>
    </xf>
    <xf numFmtId="0" fontId="53" fillId="0" borderId="10" xfId="0" applyFont="1" applyBorder="1" applyAlignment="1">
      <alignment horizontal="center" vertical="center"/>
    </xf>
    <xf numFmtId="181" fontId="53" fillId="0" borderId="10" xfId="42" applyNumberFormat="1" applyFont="1" applyFill="1" applyBorder="1" applyAlignment="1">
      <alignment horizontal="center" vertical="center" wrapText="1"/>
    </xf>
    <xf numFmtId="0" fontId="19" fillId="0" borderId="0" xfId="59" applyFont="1" applyFill="1" applyAlignment="1">
      <alignment horizontal="center"/>
      <protection/>
    </xf>
    <xf numFmtId="0" fontId="53" fillId="0" borderId="18"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3" fillId="0" borderId="22"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3" fillId="0" borderId="23" xfId="0" applyFont="1" applyFill="1" applyBorder="1" applyAlignment="1">
      <alignment horizontal="center" vertical="center" wrapText="1"/>
    </xf>
    <xf numFmtId="1" fontId="15" fillId="0" borderId="10" xfId="0" applyNumberFormat="1" applyFont="1" applyFill="1" applyBorder="1" applyAlignment="1">
      <alignment horizontal="center" vertical="center" wrapText="1"/>
    </xf>
    <xf numFmtId="0" fontId="29" fillId="0" borderId="13" xfId="59" applyFont="1" applyFill="1" applyBorder="1" applyAlignment="1">
      <alignment horizontal="left" vertical="center" wrapText="1"/>
      <protection/>
    </xf>
    <xf numFmtId="0" fontId="29" fillId="0" borderId="12" xfId="59" applyFont="1" applyFill="1" applyBorder="1" applyAlignment="1">
      <alignment horizontal="left" vertical="center" wrapText="1"/>
      <protection/>
    </xf>
    <xf numFmtId="0" fontId="53" fillId="0" borderId="10" xfId="0" applyFont="1" applyBorder="1" applyAlignment="1">
      <alignment horizontal="center" vertical="center" wrapText="1"/>
    </xf>
    <xf numFmtId="0" fontId="19" fillId="0" borderId="0" xfId="58" applyFont="1" applyFill="1" applyAlignment="1">
      <alignment horizontal="center" vertical="center"/>
      <protection/>
    </xf>
    <xf numFmtId="0" fontId="21" fillId="0" borderId="0" xfId="58" applyFont="1" applyFill="1" applyAlignment="1">
      <alignment horizontal="center" vertical="center"/>
      <protection/>
    </xf>
    <xf numFmtId="0" fontId="20" fillId="0" borderId="0" xfId="58" applyFont="1" applyFill="1" applyAlignment="1">
      <alignment horizontal="left" vertical="top"/>
      <protection/>
    </xf>
    <xf numFmtId="0" fontId="19" fillId="0" borderId="0" xfId="58" applyFont="1" applyFill="1" applyAlignment="1">
      <alignment horizontal="center"/>
      <protection/>
    </xf>
    <xf numFmtId="181" fontId="29" fillId="0" borderId="13" xfId="42" applyNumberFormat="1" applyFont="1" applyFill="1" applyBorder="1" applyAlignment="1">
      <alignment horizontal="left" wrapText="1"/>
    </xf>
    <xf numFmtId="181" fontId="29" fillId="0" borderId="12" xfId="42" applyNumberFormat="1" applyFont="1" applyFill="1" applyBorder="1" applyAlignment="1">
      <alignment horizontal="left"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15" fillId="0" borderId="13" xfId="0" applyFont="1" applyBorder="1" applyAlignment="1">
      <alignment horizontal="center" vertical="center" wrapText="1"/>
    </xf>
    <xf numFmtId="181" fontId="14" fillId="0" borderId="13" xfId="42" applyNumberFormat="1" applyFont="1" applyFill="1" applyBorder="1" applyAlignment="1">
      <alignment horizontal="left"/>
    </xf>
    <xf numFmtId="181" fontId="14" fillId="0" borderId="12" xfId="42" applyNumberFormat="1" applyFont="1" applyFill="1" applyBorder="1" applyAlignment="1">
      <alignment horizontal="left"/>
    </xf>
    <xf numFmtId="181" fontId="29" fillId="0" borderId="13" xfId="42" applyNumberFormat="1" applyFont="1" applyBorder="1" applyAlignment="1">
      <alignment horizontal="center" vertical="center" wrapText="1"/>
    </xf>
    <xf numFmtId="181" fontId="29" fillId="0" borderId="12" xfId="42" applyNumberFormat="1" applyFont="1" applyBorder="1" applyAlignment="1">
      <alignment horizontal="center" vertical="center" wrapText="1"/>
    </xf>
    <xf numFmtId="0" fontId="4" fillId="0" borderId="0" xfId="0" applyFont="1" applyFill="1" applyAlignment="1">
      <alignment horizontal="center" vertical="center" wrapText="1"/>
    </xf>
    <xf numFmtId="0" fontId="29" fillId="0" borderId="13" xfId="57" applyFont="1" applyFill="1" applyBorder="1" applyAlignment="1">
      <alignment horizontal="left" wrapText="1"/>
      <protection/>
    </xf>
    <xf numFmtId="0" fontId="29" fillId="0" borderId="12" xfId="57" applyFont="1" applyFill="1" applyBorder="1" applyAlignment="1">
      <alignment horizontal="left" wrapText="1"/>
      <protection/>
    </xf>
    <xf numFmtId="0" fontId="39" fillId="0" borderId="13"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4" fillId="0" borderId="13" xfId="57" applyFont="1" applyFill="1" applyBorder="1" applyAlignment="1">
      <alignment horizontal="left" wrapText="1"/>
      <protection/>
    </xf>
    <xf numFmtId="0" fontId="14" fillId="0" borderId="12" xfId="57" applyFont="1" applyFill="1" applyBorder="1" applyAlignment="1">
      <alignment horizontal="left" wrapText="1"/>
      <protection/>
    </xf>
    <xf numFmtId="0" fontId="15" fillId="0" borderId="15"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1" xfId="0" applyFont="1" applyFill="1" applyBorder="1" applyAlignment="1">
      <alignment horizontal="center" vertical="center" wrapText="1"/>
    </xf>
    <xf numFmtId="181" fontId="15" fillId="0" borderId="18" xfId="42" applyNumberFormat="1" applyFont="1" applyFill="1" applyBorder="1" applyAlignment="1">
      <alignment horizontal="center" vertical="center" wrapText="1"/>
    </xf>
    <xf numFmtId="181" fontId="15" fillId="0" borderId="19" xfId="42" applyNumberFormat="1" applyFont="1" applyFill="1" applyBorder="1" applyAlignment="1">
      <alignment horizontal="center" vertical="center" wrapText="1"/>
    </xf>
    <xf numFmtId="181" fontId="15" fillId="0" borderId="20" xfId="42" applyNumberFormat="1" applyFont="1" applyFill="1" applyBorder="1" applyAlignment="1">
      <alignment horizontal="center" vertical="center" wrapText="1"/>
    </xf>
    <xf numFmtId="181" fontId="15" fillId="0" borderId="21" xfId="42" applyNumberFormat="1" applyFont="1" applyFill="1" applyBorder="1" applyAlignment="1">
      <alignment horizontal="center" vertical="center" wrapText="1"/>
    </xf>
    <xf numFmtId="181" fontId="15" fillId="0" borderId="22" xfId="42" applyNumberFormat="1" applyFont="1" applyFill="1" applyBorder="1" applyAlignment="1">
      <alignment horizontal="center" vertical="center" wrapText="1"/>
    </xf>
    <xf numFmtId="181" fontId="15" fillId="0" borderId="23" xfId="42" applyNumberFormat="1" applyFont="1" applyFill="1" applyBorder="1" applyAlignment="1">
      <alignment horizontal="center" vertical="center" wrapText="1"/>
    </xf>
    <xf numFmtId="185" fontId="15" fillId="0" borderId="13" xfId="0" applyNumberFormat="1" applyFont="1" applyFill="1" applyBorder="1" applyAlignment="1">
      <alignment horizontal="center" vertical="center" wrapText="1"/>
    </xf>
    <xf numFmtId="185" fontId="15" fillId="0" borderId="12" xfId="0" applyNumberFormat="1" applyFont="1" applyFill="1" applyBorder="1" applyAlignment="1">
      <alignment horizontal="center" vertical="center" wrapText="1"/>
    </xf>
    <xf numFmtId="0" fontId="0" fillId="0" borderId="10" xfId="0" applyFont="1" applyFill="1" applyBorder="1" applyAlignment="1">
      <alignment horizontal="center"/>
    </xf>
    <xf numFmtId="0" fontId="0" fillId="0" borderId="10" xfId="0" applyFont="1" applyFill="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_Bieu mau Thong ke - phuc vu tong ket (2011-10-04)- sua theo y chi Yen" xfId="58"/>
    <cellStyle name="Normal 2_Bieu mau Thong ke - phuc vu tong ket (2011-10-24)- sua theo gop y cua cac don vi" xfId="59"/>
    <cellStyle name="Normal 2_Bieu mau Thong ke TP(2011-09-20)"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238125</xdr:rowOff>
    </xdr:from>
    <xdr:to>
      <xdr:col>1</xdr:col>
      <xdr:colOff>371475</xdr:colOff>
      <xdr:row>0</xdr:row>
      <xdr:rowOff>238125</xdr:rowOff>
    </xdr:to>
    <xdr:sp>
      <xdr:nvSpPr>
        <xdr:cNvPr id="1" name="Straight Connector 1"/>
        <xdr:cNvSpPr>
          <a:spLocks/>
        </xdr:cNvSpPr>
      </xdr:nvSpPr>
      <xdr:spPr>
        <a:xfrm>
          <a:off x="295275" y="238125"/>
          <a:ext cx="371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238125</xdr:rowOff>
    </xdr:from>
    <xdr:to>
      <xdr:col>1</xdr:col>
      <xdr:colOff>447675</xdr:colOff>
      <xdr:row>0</xdr:row>
      <xdr:rowOff>238125</xdr:rowOff>
    </xdr:to>
    <xdr:sp>
      <xdr:nvSpPr>
        <xdr:cNvPr id="1" name="Straight Connector 1"/>
        <xdr:cNvSpPr>
          <a:spLocks/>
        </xdr:cNvSpPr>
      </xdr:nvSpPr>
      <xdr:spPr>
        <a:xfrm>
          <a:off x="209550" y="238125"/>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1</xdr:row>
      <xdr:rowOff>9525</xdr:rowOff>
    </xdr:from>
    <xdr:to>
      <xdr:col>1</xdr:col>
      <xdr:colOff>752475</xdr:colOff>
      <xdr:row>1</xdr:row>
      <xdr:rowOff>9525</xdr:rowOff>
    </xdr:to>
    <xdr:sp>
      <xdr:nvSpPr>
        <xdr:cNvPr id="1" name="Line 5"/>
        <xdr:cNvSpPr>
          <a:spLocks/>
        </xdr:cNvSpPr>
      </xdr:nvSpPr>
      <xdr:spPr>
        <a:xfrm>
          <a:off x="609600" y="2476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228600</xdr:rowOff>
    </xdr:from>
    <xdr:to>
      <xdr:col>1</xdr:col>
      <xdr:colOff>495300</xdr:colOff>
      <xdr:row>0</xdr:row>
      <xdr:rowOff>228600</xdr:rowOff>
    </xdr:to>
    <xdr:sp>
      <xdr:nvSpPr>
        <xdr:cNvPr id="1" name="Straight Connector 1"/>
        <xdr:cNvSpPr>
          <a:spLocks/>
        </xdr:cNvSpPr>
      </xdr:nvSpPr>
      <xdr:spPr>
        <a:xfrm>
          <a:off x="342900" y="228600"/>
          <a:ext cx="371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228600</xdr:rowOff>
    </xdr:from>
    <xdr:to>
      <xdr:col>1</xdr:col>
      <xdr:colOff>495300</xdr:colOff>
      <xdr:row>0</xdr:row>
      <xdr:rowOff>228600</xdr:rowOff>
    </xdr:to>
    <xdr:sp>
      <xdr:nvSpPr>
        <xdr:cNvPr id="1" name="Straight Connector 1"/>
        <xdr:cNvSpPr>
          <a:spLocks/>
        </xdr:cNvSpPr>
      </xdr:nvSpPr>
      <xdr:spPr>
        <a:xfrm>
          <a:off x="342900" y="228600"/>
          <a:ext cx="371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238125</xdr:rowOff>
    </xdr:from>
    <xdr:to>
      <xdr:col>1</xdr:col>
      <xdr:colOff>514350</xdr:colOff>
      <xdr:row>0</xdr:row>
      <xdr:rowOff>238125</xdr:rowOff>
    </xdr:to>
    <xdr:sp>
      <xdr:nvSpPr>
        <xdr:cNvPr id="1" name="Straight Connector 2"/>
        <xdr:cNvSpPr>
          <a:spLocks/>
        </xdr:cNvSpPr>
      </xdr:nvSpPr>
      <xdr:spPr>
        <a:xfrm>
          <a:off x="247650" y="23812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238125</xdr:rowOff>
    </xdr:from>
    <xdr:to>
      <xdr:col>1</xdr:col>
      <xdr:colOff>514350</xdr:colOff>
      <xdr:row>0</xdr:row>
      <xdr:rowOff>238125</xdr:rowOff>
    </xdr:to>
    <xdr:sp>
      <xdr:nvSpPr>
        <xdr:cNvPr id="1" name="Straight Connector 1"/>
        <xdr:cNvSpPr>
          <a:spLocks/>
        </xdr:cNvSpPr>
      </xdr:nvSpPr>
      <xdr:spPr>
        <a:xfrm>
          <a:off x="247650" y="23812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238125</xdr:rowOff>
    </xdr:from>
    <xdr:to>
      <xdr:col>1</xdr:col>
      <xdr:colOff>171450</xdr:colOff>
      <xdr:row>0</xdr:row>
      <xdr:rowOff>238125</xdr:rowOff>
    </xdr:to>
    <xdr:sp>
      <xdr:nvSpPr>
        <xdr:cNvPr id="1" name="Straight Connector 1"/>
        <xdr:cNvSpPr>
          <a:spLocks/>
        </xdr:cNvSpPr>
      </xdr:nvSpPr>
      <xdr:spPr>
        <a:xfrm>
          <a:off x="209550" y="238125"/>
          <a:ext cx="257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238125</xdr:rowOff>
    </xdr:from>
    <xdr:to>
      <xdr:col>1</xdr:col>
      <xdr:colOff>447675</xdr:colOff>
      <xdr:row>0</xdr:row>
      <xdr:rowOff>238125</xdr:rowOff>
    </xdr:to>
    <xdr:sp>
      <xdr:nvSpPr>
        <xdr:cNvPr id="1" name="Straight Connector 1"/>
        <xdr:cNvSpPr>
          <a:spLocks/>
        </xdr:cNvSpPr>
      </xdr:nvSpPr>
      <xdr:spPr>
        <a:xfrm>
          <a:off x="209550" y="23812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238125</xdr:rowOff>
    </xdr:from>
    <xdr:to>
      <xdr:col>1</xdr:col>
      <xdr:colOff>447675</xdr:colOff>
      <xdr:row>0</xdr:row>
      <xdr:rowOff>238125</xdr:rowOff>
    </xdr:to>
    <xdr:sp>
      <xdr:nvSpPr>
        <xdr:cNvPr id="1" name="Straight Connector 1"/>
        <xdr:cNvSpPr>
          <a:spLocks/>
        </xdr:cNvSpPr>
      </xdr:nvSpPr>
      <xdr:spPr>
        <a:xfrm>
          <a:off x="209550" y="23812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209550</xdr:rowOff>
    </xdr:from>
    <xdr:to>
      <xdr:col>1</xdr:col>
      <xdr:colOff>447675</xdr:colOff>
      <xdr:row>0</xdr:row>
      <xdr:rowOff>209550</xdr:rowOff>
    </xdr:to>
    <xdr:sp>
      <xdr:nvSpPr>
        <xdr:cNvPr id="1" name="Straight Connector 1"/>
        <xdr:cNvSpPr>
          <a:spLocks/>
        </xdr:cNvSpPr>
      </xdr:nvSpPr>
      <xdr:spPr>
        <a:xfrm>
          <a:off x="209550" y="209550"/>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138"/>
  <sheetViews>
    <sheetView view="pageLayout" workbookViewId="0" topLeftCell="A1">
      <selection activeCell="P13" sqref="P13"/>
    </sheetView>
  </sheetViews>
  <sheetFormatPr defaultColWidth="9.140625" defaultRowHeight="12.75"/>
  <cols>
    <col min="1" max="1" width="4.421875" style="3" customWidth="1"/>
    <col min="2" max="2" width="12.57421875" style="1" customWidth="1"/>
    <col min="3" max="3" width="7.00390625" style="3" customWidth="1"/>
    <col min="4" max="4" width="6.140625" style="3" customWidth="1"/>
    <col min="5" max="5" width="6.57421875" style="3" customWidth="1"/>
    <col min="6" max="6" width="6.8515625" style="3" customWidth="1"/>
    <col min="7" max="7" width="6.421875" style="3" customWidth="1"/>
    <col min="8" max="9" width="6.140625" style="3" customWidth="1"/>
    <col min="10" max="10" width="8.00390625" style="3" customWidth="1"/>
    <col min="11" max="11" width="8.57421875" style="108" customWidth="1"/>
    <col min="12" max="12" width="8.57421875" style="3" customWidth="1"/>
    <col min="13" max="13" width="7.7109375" style="3" customWidth="1"/>
    <col min="14" max="14" width="8.7109375" style="3" customWidth="1"/>
    <col min="15" max="15" width="8.57421875" style="3" customWidth="1"/>
    <col min="16" max="16" width="9.421875" style="3" customWidth="1"/>
    <col min="17" max="17" width="8.00390625" style="3" customWidth="1"/>
    <col min="18" max="18" width="7.57421875" style="3" customWidth="1"/>
    <col min="19" max="16384" width="9.140625" style="6" customWidth="1"/>
  </cols>
  <sheetData>
    <row r="1" spans="1:18" ht="19.5" customHeight="1">
      <c r="A1" s="66" t="s">
        <v>7</v>
      </c>
      <c r="B1" s="66"/>
      <c r="C1" s="48"/>
      <c r="D1" s="35"/>
      <c r="E1" s="35"/>
      <c r="F1" s="35"/>
      <c r="G1" s="35"/>
      <c r="H1" s="35"/>
      <c r="I1" s="35"/>
      <c r="J1" s="35"/>
      <c r="K1" s="104"/>
      <c r="L1" s="35"/>
      <c r="M1" s="35"/>
      <c r="N1" s="35"/>
      <c r="O1" s="35"/>
      <c r="P1" s="35"/>
      <c r="Q1" s="35"/>
      <c r="R1" s="35"/>
    </row>
    <row r="2" spans="1:18" ht="23.25" customHeight="1">
      <c r="A2" s="401" t="s">
        <v>143</v>
      </c>
      <c r="B2" s="401"/>
      <c r="C2" s="401"/>
      <c r="D2" s="401"/>
      <c r="E2" s="401"/>
      <c r="F2" s="401"/>
      <c r="G2" s="401"/>
      <c r="H2" s="401"/>
      <c r="I2" s="401"/>
      <c r="J2" s="401"/>
      <c r="K2" s="401"/>
      <c r="L2" s="401"/>
      <c r="M2" s="401"/>
      <c r="N2" s="401"/>
      <c r="O2" s="401"/>
      <c r="P2" s="401"/>
      <c r="Q2" s="401"/>
      <c r="R2" s="401"/>
    </row>
    <row r="3" spans="1:18" ht="24" customHeight="1">
      <c r="A3" s="400" t="s">
        <v>144</v>
      </c>
      <c r="B3" s="400"/>
      <c r="C3" s="400"/>
      <c r="D3" s="400"/>
      <c r="E3" s="400"/>
      <c r="F3" s="400"/>
      <c r="G3" s="400"/>
      <c r="H3" s="400"/>
      <c r="I3" s="400"/>
      <c r="J3" s="400"/>
      <c r="K3" s="400"/>
      <c r="L3" s="400"/>
      <c r="M3" s="400"/>
      <c r="N3" s="400"/>
      <c r="O3" s="400"/>
      <c r="P3" s="400"/>
      <c r="Q3" s="400"/>
      <c r="R3" s="400"/>
    </row>
    <row r="4" spans="1:18" ht="24" customHeight="1">
      <c r="A4" s="401" t="s">
        <v>296</v>
      </c>
      <c r="B4" s="402"/>
      <c r="C4" s="402"/>
      <c r="D4" s="402"/>
      <c r="E4" s="402"/>
      <c r="F4" s="402"/>
      <c r="G4" s="402"/>
      <c r="H4" s="402"/>
      <c r="I4" s="402"/>
      <c r="J4" s="402"/>
      <c r="K4" s="402"/>
      <c r="L4" s="402"/>
      <c r="M4" s="402"/>
      <c r="N4" s="402"/>
      <c r="O4" s="402"/>
      <c r="P4" s="402"/>
      <c r="Q4" s="402"/>
      <c r="R4" s="402"/>
    </row>
    <row r="5" spans="1:18" ht="15.75">
      <c r="A5" s="4"/>
      <c r="B5" s="52"/>
      <c r="C5" s="52"/>
      <c r="D5" s="24"/>
      <c r="E5" s="24"/>
      <c r="F5" s="25"/>
      <c r="G5" s="25"/>
      <c r="H5" s="25"/>
      <c r="I5" s="26"/>
      <c r="J5" s="24"/>
      <c r="K5" s="105"/>
      <c r="L5" s="24"/>
      <c r="M5" s="24"/>
      <c r="N5" s="25"/>
      <c r="O5" s="56" t="s">
        <v>45</v>
      </c>
      <c r="P5" s="25"/>
      <c r="Q5" s="25"/>
      <c r="R5" s="26"/>
    </row>
    <row r="6" spans="1:18" ht="40.5" customHeight="1">
      <c r="A6" s="388"/>
      <c r="B6" s="389"/>
      <c r="C6" s="404" t="s">
        <v>34</v>
      </c>
      <c r="D6" s="404"/>
      <c r="E6" s="404"/>
      <c r="F6" s="404"/>
      <c r="G6" s="404"/>
      <c r="H6" s="404"/>
      <c r="I6" s="404"/>
      <c r="J6" s="385" t="s">
        <v>35</v>
      </c>
      <c r="K6" s="404" t="s">
        <v>101</v>
      </c>
      <c r="L6" s="404"/>
      <c r="M6" s="404"/>
      <c r="N6" s="404"/>
      <c r="O6" s="404"/>
      <c r="P6" s="404" t="s">
        <v>41</v>
      </c>
      <c r="Q6" s="404"/>
      <c r="R6" s="404"/>
    </row>
    <row r="7" spans="1:18" ht="12.75" customHeight="1">
      <c r="A7" s="390"/>
      <c r="B7" s="391"/>
      <c r="C7" s="396" t="s">
        <v>9</v>
      </c>
      <c r="D7" s="407" t="s">
        <v>44</v>
      </c>
      <c r="E7" s="407"/>
      <c r="F7" s="407"/>
      <c r="G7" s="407"/>
      <c r="H7" s="407"/>
      <c r="I7" s="407"/>
      <c r="J7" s="386"/>
      <c r="K7" s="408" t="s">
        <v>9</v>
      </c>
      <c r="L7" s="405" t="s">
        <v>44</v>
      </c>
      <c r="M7" s="405"/>
      <c r="N7" s="405"/>
      <c r="O7" s="405"/>
      <c r="P7" s="405" t="s">
        <v>9</v>
      </c>
      <c r="Q7" s="405" t="s">
        <v>44</v>
      </c>
      <c r="R7" s="405"/>
    </row>
    <row r="8" spans="1:18" ht="12.75">
      <c r="A8" s="390"/>
      <c r="B8" s="391"/>
      <c r="C8" s="397"/>
      <c r="D8" s="396" t="s">
        <v>13</v>
      </c>
      <c r="E8" s="396" t="s">
        <v>252</v>
      </c>
      <c r="F8" s="396" t="s">
        <v>10</v>
      </c>
      <c r="G8" s="396" t="s">
        <v>11</v>
      </c>
      <c r="H8" s="396" t="s">
        <v>129</v>
      </c>
      <c r="I8" s="396" t="s">
        <v>12</v>
      </c>
      <c r="J8" s="386"/>
      <c r="K8" s="408"/>
      <c r="L8" s="399" t="s">
        <v>55</v>
      </c>
      <c r="M8" s="399" t="s">
        <v>56</v>
      </c>
      <c r="N8" s="399" t="s">
        <v>57</v>
      </c>
      <c r="O8" s="399"/>
      <c r="P8" s="405"/>
      <c r="Q8" s="399" t="s">
        <v>42</v>
      </c>
      <c r="R8" s="399" t="s">
        <v>43</v>
      </c>
    </row>
    <row r="9" spans="1:18" ht="31.5" customHeight="1">
      <c r="A9" s="390"/>
      <c r="B9" s="391"/>
      <c r="C9" s="397"/>
      <c r="D9" s="397"/>
      <c r="E9" s="397"/>
      <c r="F9" s="397"/>
      <c r="G9" s="397"/>
      <c r="H9" s="397"/>
      <c r="I9" s="397"/>
      <c r="J9" s="386"/>
      <c r="K9" s="408"/>
      <c r="L9" s="399"/>
      <c r="M9" s="399"/>
      <c r="N9" s="396" t="s">
        <v>9</v>
      </c>
      <c r="O9" s="396" t="s">
        <v>58</v>
      </c>
      <c r="P9" s="405"/>
      <c r="Q9" s="399"/>
      <c r="R9" s="399"/>
    </row>
    <row r="10" spans="1:18" ht="12.75">
      <c r="A10" s="390"/>
      <c r="B10" s="391"/>
      <c r="C10" s="397"/>
      <c r="D10" s="397"/>
      <c r="E10" s="397"/>
      <c r="F10" s="397"/>
      <c r="G10" s="397"/>
      <c r="H10" s="397"/>
      <c r="I10" s="397"/>
      <c r="J10" s="386"/>
      <c r="K10" s="408"/>
      <c r="L10" s="399"/>
      <c r="M10" s="399"/>
      <c r="N10" s="397"/>
      <c r="O10" s="397"/>
      <c r="P10" s="405"/>
      <c r="Q10" s="399"/>
      <c r="R10" s="399"/>
    </row>
    <row r="11" spans="1:18" ht="45" customHeight="1">
      <c r="A11" s="392"/>
      <c r="B11" s="393"/>
      <c r="C11" s="403"/>
      <c r="D11" s="398"/>
      <c r="E11" s="398"/>
      <c r="F11" s="403"/>
      <c r="G11" s="403"/>
      <c r="H11" s="403"/>
      <c r="I11" s="403"/>
      <c r="J11" s="387"/>
      <c r="K11" s="408"/>
      <c r="L11" s="406"/>
      <c r="M11" s="406"/>
      <c r="N11" s="403"/>
      <c r="O11" s="403"/>
      <c r="P11" s="405"/>
      <c r="Q11" s="399"/>
      <c r="R11" s="399"/>
    </row>
    <row r="12" spans="1:18" ht="12.75">
      <c r="A12" s="394" t="s">
        <v>40</v>
      </c>
      <c r="B12" s="395"/>
      <c r="C12" s="59">
        <v>1</v>
      </c>
      <c r="D12" s="59">
        <v>2</v>
      </c>
      <c r="E12" s="59">
        <v>3</v>
      </c>
      <c r="F12" s="59">
        <v>4</v>
      </c>
      <c r="G12" s="59">
        <v>5</v>
      </c>
      <c r="H12" s="59">
        <v>6</v>
      </c>
      <c r="I12" s="59">
        <v>7</v>
      </c>
      <c r="J12" s="59">
        <v>8</v>
      </c>
      <c r="K12" s="59">
        <v>9</v>
      </c>
      <c r="L12" s="59">
        <v>10</v>
      </c>
      <c r="M12" s="59">
        <v>11</v>
      </c>
      <c r="N12" s="59">
        <v>12</v>
      </c>
      <c r="O12" s="59">
        <v>13</v>
      </c>
      <c r="P12" s="59">
        <v>14</v>
      </c>
      <c r="Q12" s="59">
        <v>15</v>
      </c>
      <c r="R12" s="59">
        <v>16</v>
      </c>
    </row>
    <row r="13" spans="1:18" ht="26.25" customHeight="1">
      <c r="A13" s="383" t="s">
        <v>97</v>
      </c>
      <c r="B13" s="384"/>
      <c r="C13" s="154">
        <f aca="true" t="shared" si="0" ref="C13:R13">C14+C36</f>
        <v>527</v>
      </c>
      <c r="D13" s="154">
        <f t="shared" si="0"/>
        <v>6</v>
      </c>
      <c r="E13" s="154">
        <f t="shared" si="0"/>
        <v>2</v>
      </c>
      <c r="F13" s="344">
        <v>0</v>
      </c>
      <c r="G13" s="154">
        <f t="shared" si="0"/>
        <v>69</v>
      </c>
      <c r="H13" s="154">
        <f t="shared" si="0"/>
        <v>32</v>
      </c>
      <c r="I13" s="154">
        <f t="shared" si="0"/>
        <v>514</v>
      </c>
      <c r="J13" s="154">
        <f t="shared" si="0"/>
        <v>613</v>
      </c>
      <c r="K13" s="154">
        <f t="shared" si="0"/>
        <v>54675</v>
      </c>
      <c r="L13" s="154">
        <f t="shared" si="0"/>
        <v>45279</v>
      </c>
      <c r="M13" s="154">
        <f t="shared" si="0"/>
        <v>6262</v>
      </c>
      <c r="N13" s="154">
        <f t="shared" si="0"/>
        <v>3134</v>
      </c>
      <c r="O13" s="154">
        <f t="shared" si="0"/>
        <v>133</v>
      </c>
      <c r="P13" s="154">
        <f t="shared" si="0"/>
        <v>7545</v>
      </c>
      <c r="Q13" s="154">
        <f t="shared" si="0"/>
        <v>3200</v>
      </c>
      <c r="R13" s="154">
        <f t="shared" si="0"/>
        <v>4353</v>
      </c>
    </row>
    <row r="14" spans="1:18" ht="39" customHeight="1">
      <c r="A14" s="383" t="s">
        <v>87</v>
      </c>
      <c r="B14" s="384"/>
      <c r="C14" s="155">
        <f aca="true" t="shared" si="1" ref="C14:R14">SUM(C15:C35)</f>
        <v>527</v>
      </c>
      <c r="D14" s="155">
        <f t="shared" si="1"/>
        <v>6</v>
      </c>
      <c r="E14" s="155">
        <f t="shared" si="1"/>
        <v>2</v>
      </c>
      <c r="F14" s="344">
        <v>0</v>
      </c>
      <c r="G14" s="155">
        <f t="shared" si="1"/>
        <v>69</v>
      </c>
      <c r="H14" s="155">
        <f t="shared" si="1"/>
        <v>32</v>
      </c>
      <c r="I14" s="155">
        <f t="shared" si="1"/>
        <v>514</v>
      </c>
      <c r="J14" s="155">
        <f t="shared" si="1"/>
        <v>613</v>
      </c>
      <c r="K14" s="155">
        <f t="shared" si="1"/>
        <v>0</v>
      </c>
      <c r="L14" s="155">
        <f t="shared" si="1"/>
        <v>0</v>
      </c>
      <c r="M14" s="155">
        <f t="shared" si="1"/>
        <v>0</v>
      </c>
      <c r="N14" s="155">
        <f t="shared" si="1"/>
        <v>0</v>
      </c>
      <c r="O14" s="155">
        <f t="shared" si="1"/>
        <v>0</v>
      </c>
      <c r="P14" s="155">
        <f t="shared" si="1"/>
        <v>0</v>
      </c>
      <c r="Q14" s="155">
        <f t="shared" si="1"/>
        <v>0</v>
      </c>
      <c r="R14" s="155">
        <f t="shared" si="1"/>
        <v>0</v>
      </c>
    </row>
    <row r="15" spans="1:18" ht="15.75">
      <c r="A15" s="158">
        <v>1</v>
      </c>
      <c r="B15" s="159" t="s">
        <v>229</v>
      </c>
      <c r="C15" s="162"/>
      <c r="D15" s="109">
        <v>2</v>
      </c>
      <c r="E15" s="346">
        <v>0</v>
      </c>
      <c r="F15" s="347">
        <v>0</v>
      </c>
      <c r="G15" s="109">
        <v>16</v>
      </c>
      <c r="H15" s="109">
        <v>7</v>
      </c>
      <c r="I15" s="88">
        <f>60+11</f>
        <v>71</v>
      </c>
      <c r="J15" s="109">
        <v>78</v>
      </c>
      <c r="K15" s="100">
        <v>0</v>
      </c>
      <c r="L15" s="100">
        <v>0</v>
      </c>
      <c r="M15" s="100">
        <v>0</v>
      </c>
      <c r="N15" s="100">
        <v>0</v>
      </c>
      <c r="O15" s="100">
        <v>0</v>
      </c>
      <c r="P15" s="100">
        <v>0</v>
      </c>
      <c r="Q15" s="100">
        <v>0</v>
      </c>
      <c r="R15" s="100">
        <v>0</v>
      </c>
    </row>
    <row r="16" spans="1:18" ht="25.5">
      <c r="A16" s="158">
        <v>2</v>
      </c>
      <c r="B16" s="159" t="s">
        <v>193</v>
      </c>
      <c r="C16" s="162"/>
      <c r="D16" s="109"/>
      <c r="E16" s="88"/>
      <c r="F16" s="109"/>
      <c r="G16" s="109"/>
      <c r="H16" s="109"/>
      <c r="I16" s="88"/>
      <c r="J16" s="109"/>
      <c r="K16" s="100">
        <v>0</v>
      </c>
      <c r="L16" s="100">
        <v>0</v>
      </c>
      <c r="M16" s="100">
        <v>0</v>
      </c>
      <c r="N16" s="100">
        <v>0</v>
      </c>
      <c r="O16" s="100">
        <v>0</v>
      </c>
      <c r="P16" s="100">
        <v>0</v>
      </c>
      <c r="Q16" s="100">
        <v>0</v>
      </c>
      <c r="R16" s="100">
        <v>0</v>
      </c>
    </row>
    <row r="17" spans="1:18" ht="25.5">
      <c r="A17" s="158">
        <v>3</v>
      </c>
      <c r="B17" s="159" t="s">
        <v>194</v>
      </c>
      <c r="C17" s="162"/>
      <c r="D17" s="109"/>
      <c r="E17" s="88"/>
      <c r="F17" s="109"/>
      <c r="G17" s="109"/>
      <c r="H17" s="109"/>
      <c r="I17" s="88"/>
      <c r="J17" s="109"/>
      <c r="K17" s="100">
        <v>0</v>
      </c>
      <c r="L17" s="100">
        <v>0</v>
      </c>
      <c r="M17" s="100">
        <v>0</v>
      </c>
      <c r="N17" s="100">
        <v>0</v>
      </c>
      <c r="O17" s="100">
        <v>0</v>
      </c>
      <c r="P17" s="100">
        <v>0</v>
      </c>
      <c r="Q17" s="100">
        <v>0</v>
      </c>
      <c r="R17" s="100">
        <v>0</v>
      </c>
    </row>
    <row r="18" spans="1:18" ht="25.5">
      <c r="A18" s="158">
        <v>4</v>
      </c>
      <c r="B18" s="159" t="s">
        <v>195</v>
      </c>
      <c r="C18" s="162"/>
      <c r="D18" s="88"/>
      <c r="E18" s="88"/>
      <c r="F18" s="88"/>
      <c r="G18" s="109"/>
      <c r="H18" s="109"/>
      <c r="I18" s="88"/>
      <c r="J18" s="109"/>
      <c r="K18" s="100">
        <v>0</v>
      </c>
      <c r="L18" s="100">
        <v>0</v>
      </c>
      <c r="M18" s="100">
        <v>0</v>
      </c>
      <c r="N18" s="100">
        <v>0</v>
      </c>
      <c r="O18" s="100">
        <v>0</v>
      </c>
      <c r="P18" s="100">
        <v>0</v>
      </c>
      <c r="Q18" s="100">
        <v>0</v>
      </c>
      <c r="R18" s="100">
        <v>0</v>
      </c>
    </row>
    <row r="19" spans="1:18" ht="25.5">
      <c r="A19" s="158">
        <v>5</v>
      </c>
      <c r="B19" s="159" t="s">
        <v>196</v>
      </c>
      <c r="C19" s="162">
        <f>SUM(D19:I19)</f>
        <v>14</v>
      </c>
      <c r="D19" s="109">
        <v>1</v>
      </c>
      <c r="E19" s="347">
        <v>0</v>
      </c>
      <c r="F19" s="347">
        <v>0</v>
      </c>
      <c r="G19" s="109">
        <v>6</v>
      </c>
      <c r="H19" s="109">
        <v>2</v>
      </c>
      <c r="I19" s="88">
        <v>5</v>
      </c>
      <c r="J19" s="109">
        <v>10</v>
      </c>
      <c r="K19" s="100">
        <v>0</v>
      </c>
      <c r="L19" s="100">
        <v>0</v>
      </c>
      <c r="M19" s="100">
        <v>0</v>
      </c>
      <c r="N19" s="100">
        <v>0</v>
      </c>
      <c r="O19" s="100">
        <v>0</v>
      </c>
      <c r="P19" s="100">
        <v>0</v>
      </c>
      <c r="Q19" s="100">
        <v>0</v>
      </c>
      <c r="R19" s="100">
        <v>0</v>
      </c>
    </row>
    <row r="20" spans="1:18" ht="25.5">
      <c r="A20" s="158">
        <v>6</v>
      </c>
      <c r="B20" s="159" t="s">
        <v>197</v>
      </c>
      <c r="C20" s="162"/>
      <c r="D20" s="109"/>
      <c r="E20" s="88"/>
      <c r="F20" s="109"/>
      <c r="G20" s="109"/>
      <c r="H20" s="109"/>
      <c r="I20" s="88"/>
      <c r="J20" s="109"/>
      <c r="K20" s="100">
        <v>0</v>
      </c>
      <c r="L20" s="100">
        <v>0</v>
      </c>
      <c r="M20" s="100">
        <v>0</v>
      </c>
      <c r="N20" s="100">
        <v>0</v>
      </c>
      <c r="O20" s="100">
        <v>0</v>
      </c>
      <c r="P20" s="100">
        <v>0</v>
      </c>
      <c r="Q20" s="100">
        <v>0</v>
      </c>
      <c r="R20" s="100">
        <v>0</v>
      </c>
    </row>
    <row r="21" spans="1:18" ht="38.25">
      <c r="A21" s="158">
        <v>7</v>
      </c>
      <c r="B21" s="159" t="s">
        <v>198</v>
      </c>
      <c r="C21" s="162"/>
      <c r="D21" s="109"/>
      <c r="E21" s="88"/>
      <c r="F21" s="109"/>
      <c r="G21" s="109"/>
      <c r="H21" s="109"/>
      <c r="I21" s="88"/>
      <c r="J21" s="109"/>
      <c r="K21" s="100">
        <v>0</v>
      </c>
      <c r="L21" s="100">
        <v>0</v>
      </c>
      <c r="M21" s="100">
        <v>0</v>
      </c>
      <c r="N21" s="100">
        <v>0</v>
      </c>
      <c r="O21" s="100">
        <v>0</v>
      </c>
      <c r="P21" s="100">
        <v>0</v>
      </c>
      <c r="Q21" s="100">
        <v>0</v>
      </c>
      <c r="R21" s="100">
        <v>0</v>
      </c>
    </row>
    <row r="22" spans="1:18" ht="15.75">
      <c r="A22" s="158">
        <v>8</v>
      </c>
      <c r="B22" s="159" t="s">
        <v>199</v>
      </c>
      <c r="C22" s="162"/>
      <c r="D22" s="109"/>
      <c r="E22" s="88"/>
      <c r="F22" s="109"/>
      <c r="G22" s="109"/>
      <c r="H22" s="109"/>
      <c r="I22" s="88"/>
      <c r="J22" s="109"/>
      <c r="K22" s="100">
        <v>0</v>
      </c>
      <c r="L22" s="100">
        <v>0</v>
      </c>
      <c r="M22" s="100">
        <v>0</v>
      </c>
      <c r="N22" s="100">
        <v>0</v>
      </c>
      <c r="O22" s="100">
        <v>0</v>
      </c>
      <c r="P22" s="100">
        <v>0</v>
      </c>
      <c r="Q22" s="100">
        <v>0</v>
      </c>
      <c r="R22" s="100">
        <v>0</v>
      </c>
    </row>
    <row r="23" spans="1:18" ht="15.75">
      <c r="A23" s="158">
        <v>9</v>
      </c>
      <c r="B23" s="159" t="s">
        <v>200</v>
      </c>
      <c r="C23" s="162"/>
      <c r="D23" s="109"/>
      <c r="E23" s="88"/>
      <c r="F23" s="109"/>
      <c r="G23" s="109"/>
      <c r="H23" s="109"/>
      <c r="I23" s="88"/>
      <c r="J23" s="109"/>
      <c r="K23" s="100">
        <v>0</v>
      </c>
      <c r="L23" s="100">
        <v>0</v>
      </c>
      <c r="M23" s="100">
        <v>0</v>
      </c>
      <c r="N23" s="100">
        <v>0</v>
      </c>
      <c r="O23" s="100">
        <v>0</v>
      </c>
      <c r="P23" s="100">
        <v>0</v>
      </c>
      <c r="Q23" s="100">
        <v>0</v>
      </c>
      <c r="R23" s="100">
        <v>0</v>
      </c>
    </row>
    <row r="24" spans="1:18" ht="51">
      <c r="A24" s="158">
        <v>10</v>
      </c>
      <c r="B24" s="159" t="s">
        <v>201</v>
      </c>
      <c r="C24" s="162"/>
      <c r="D24" s="88"/>
      <c r="E24" s="88"/>
      <c r="F24" s="88"/>
      <c r="G24" s="109"/>
      <c r="H24" s="109"/>
      <c r="I24" s="88"/>
      <c r="J24" s="109"/>
      <c r="K24" s="100">
        <v>0</v>
      </c>
      <c r="L24" s="100">
        <v>0</v>
      </c>
      <c r="M24" s="100">
        <v>0</v>
      </c>
      <c r="N24" s="100">
        <v>0</v>
      </c>
      <c r="O24" s="100">
        <v>0</v>
      </c>
      <c r="P24" s="100">
        <v>0</v>
      </c>
      <c r="Q24" s="100">
        <v>0</v>
      </c>
      <c r="R24" s="100">
        <v>0</v>
      </c>
    </row>
    <row r="25" spans="1:18" ht="25.5">
      <c r="A25" s="158">
        <v>11</v>
      </c>
      <c r="B25" s="159" t="s">
        <v>230</v>
      </c>
      <c r="C25" s="162">
        <f>SUM(D25:I25)</f>
        <v>241</v>
      </c>
      <c r="D25" s="109">
        <v>1</v>
      </c>
      <c r="E25" s="88">
        <v>1</v>
      </c>
      <c r="F25" s="347">
        <v>0</v>
      </c>
      <c r="G25" s="109">
        <v>10</v>
      </c>
      <c r="H25" s="109">
        <v>4</v>
      </c>
      <c r="I25" s="88">
        <f>220+5</f>
        <v>225</v>
      </c>
      <c r="J25" s="109">
        <v>312</v>
      </c>
      <c r="K25" s="100">
        <v>0</v>
      </c>
      <c r="L25" s="100">
        <v>0</v>
      </c>
      <c r="M25" s="100">
        <v>0</v>
      </c>
      <c r="N25" s="100">
        <v>0</v>
      </c>
      <c r="O25" s="100">
        <v>0</v>
      </c>
      <c r="P25" s="100">
        <v>0</v>
      </c>
      <c r="Q25" s="100">
        <v>0</v>
      </c>
      <c r="R25" s="100">
        <v>0</v>
      </c>
    </row>
    <row r="26" spans="1:18" ht="15.75">
      <c r="A26" s="158">
        <v>12</v>
      </c>
      <c r="B26" s="159" t="s">
        <v>185</v>
      </c>
      <c r="C26" s="162">
        <f>SUM(D26:I26)</f>
        <v>261</v>
      </c>
      <c r="D26" s="109">
        <v>2</v>
      </c>
      <c r="E26" s="88">
        <v>1</v>
      </c>
      <c r="F26" s="347">
        <v>0</v>
      </c>
      <c r="G26" s="109">
        <v>33</v>
      </c>
      <c r="H26" s="109">
        <v>19</v>
      </c>
      <c r="I26" s="88">
        <f>177+29</f>
        <v>206</v>
      </c>
      <c r="J26" s="109">
        <v>206</v>
      </c>
      <c r="K26" s="100">
        <v>0</v>
      </c>
      <c r="L26" s="100">
        <v>0</v>
      </c>
      <c r="M26" s="100">
        <v>0</v>
      </c>
      <c r="N26" s="100">
        <v>0</v>
      </c>
      <c r="O26" s="100">
        <v>0</v>
      </c>
      <c r="P26" s="100">
        <v>0</v>
      </c>
      <c r="Q26" s="100">
        <v>0</v>
      </c>
      <c r="R26" s="100">
        <v>0</v>
      </c>
    </row>
    <row r="27" spans="1:18" ht="25.5">
      <c r="A27" s="158">
        <v>13</v>
      </c>
      <c r="B27" s="159" t="s">
        <v>186</v>
      </c>
      <c r="C27" s="162"/>
      <c r="D27" s="109"/>
      <c r="E27" s="88"/>
      <c r="F27" s="109"/>
      <c r="G27" s="109"/>
      <c r="H27" s="109"/>
      <c r="I27" s="88"/>
      <c r="J27" s="109"/>
      <c r="K27" s="100">
        <v>0</v>
      </c>
      <c r="L27" s="100">
        <v>0</v>
      </c>
      <c r="M27" s="100">
        <v>0</v>
      </c>
      <c r="N27" s="100">
        <v>0</v>
      </c>
      <c r="O27" s="100">
        <v>0</v>
      </c>
      <c r="P27" s="100">
        <v>0</v>
      </c>
      <c r="Q27" s="100">
        <v>0</v>
      </c>
      <c r="R27" s="100">
        <v>0</v>
      </c>
    </row>
    <row r="28" spans="1:18" ht="38.25">
      <c r="A28" s="158">
        <v>14</v>
      </c>
      <c r="B28" s="159" t="s">
        <v>187</v>
      </c>
      <c r="C28" s="162"/>
      <c r="D28" s="109"/>
      <c r="E28" s="88"/>
      <c r="F28" s="109"/>
      <c r="G28" s="109"/>
      <c r="H28" s="109"/>
      <c r="I28" s="88"/>
      <c r="J28" s="109"/>
      <c r="K28" s="100">
        <v>0</v>
      </c>
      <c r="L28" s="100">
        <v>0</v>
      </c>
      <c r="M28" s="100">
        <v>0</v>
      </c>
      <c r="N28" s="100">
        <v>0</v>
      </c>
      <c r="O28" s="100">
        <v>0</v>
      </c>
      <c r="P28" s="100">
        <v>0</v>
      </c>
      <c r="Q28" s="100">
        <v>0</v>
      </c>
      <c r="R28" s="100">
        <v>0</v>
      </c>
    </row>
    <row r="29" spans="1:18" ht="15.75">
      <c r="A29" s="158">
        <v>15</v>
      </c>
      <c r="B29" s="159" t="s">
        <v>289</v>
      </c>
      <c r="C29" s="162"/>
      <c r="D29" s="109"/>
      <c r="E29" s="88"/>
      <c r="F29" s="109"/>
      <c r="G29" s="109"/>
      <c r="H29" s="109"/>
      <c r="I29" s="88"/>
      <c r="J29" s="109"/>
      <c r="K29" s="100">
        <v>0</v>
      </c>
      <c r="L29" s="100">
        <v>0</v>
      </c>
      <c r="M29" s="100">
        <v>0</v>
      </c>
      <c r="N29" s="100">
        <v>0</v>
      </c>
      <c r="O29" s="100">
        <v>0</v>
      </c>
      <c r="P29" s="100">
        <v>0</v>
      </c>
      <c r="Q29" s="100">
        <v>0</v>
      </c>
      <c r="R29" s="100">
        <v>0</v>
      </c>
    </row>
    <row r="30" spans="1:18" ht="38.25">
      <c r="A30" s="158">
        <v>16</v>
      </c>
      <c r="B30" s="159" t="s">
        <v>188</v>
      </c>
      <c r="C30" s="162">
        <f>SUM(D30:I30)</f>
        <v>11</v>
      </c>
      <c r="D30" s="347">
        <v>0</v>
      </c>
      <c r="E30" s="347">
        <v>0</v>
      </c>
      <c r="F30" s="347">
        <v>0</v>
      </c>
      <c r="G30" s="109">
        <v>4</v>
      </c>
      <c r="H30" s="347">
        <v>0</v>
      </c>
      <c r="I30" s="88">
        <v>7</v>
      </c>
      <c r="J30" s="109">
        <v>7</v>
      </c>
      <c r="K30" s="100">
        <v>0</v>
      </c>
      <c r="L30" s="100">
        <v>0</v>
      </c>
      <c r="M30" s="100">
        <v>0</v>
      </c>
      <c r="N30" s="100">
        <v>0</v>
      </c>
      <c r="O30" s="100">
        <v>0</v>
      </c>
      <c r="P30" s="100">
        <v>0</v>
      </c>
      <c r="Q30" s="100">
        <v>0</v>
      </c>
      <c r="R30" s="100">
        <v>0</v>
      </c>
    </row>
    <row r="31" spans="1:18" ht="15.75">
      <c r="A31" s="158">
        <v>17</v>
      </c>
      <c r="B31" s="159" t="s">
        <v>189</v>
      </c>
      <c r="C31" s="162"/>
      <c r="D31" s="109"/>
      <c r="E31" s="88"/>
      <c r="F31" s="109"/>
      <c r="G31" s="109"/>
      <c r="H31" s="109"/>
      <c r="I31" s="88"/>
      <c r="J31" s="109"/>
      <c r="K31" s="100">
        <v>0</v>
      </c>
      <c r="L31" s="100">
        <v>0</v>
      </c>
      <c r="M31" s="100">
        <v>0</v>
      </c>
      <c r="N31" s="100">
        <v>0</v>
      </c>
      <c r="O31" s="100">
        <v>0</v>
      </c>
      <c r="P31" s="100">
        <v>0</v>
      </c>
      <c r="Q31" s="100">
        <v>0</v>
      </c>
      <c r="R31" s="100">
        <v>0</v>
      </c>
    </row>
    <row r="32" spans="1:18" ht="15.75">
      <c r="A32" s="158">
        <v>18</v>
      </c>
      <c r="B32" s="159" t="s">
        <v>228</v>
      </c>
      <c r="C32" s="162"/>
      <c r="D32" s="109"/>
      <c r="E32" s="88"/>
      <c r="F32" s="109"/>
      <c r="G32" s="109"/>
      <c r="H32" s="109"/>
      <c r="I32" s="88"/>
      <c r="J32" s="109"/>
      <c r="K32" s="100">
        <v>0</v>
      </c>
      <c r="L32" s="100">
        <v>0</v>
      </c>
      <c r="M32" s="100">
        <v>0</v>
      </c>
      <c r="N32" s="100">
        <v>0</v>
      </c>
      <c r="O32" s="100">
        <v>0</v>
      </c>
      <c r="P32" s="100">
        <v>0</v>
      </c>
      <c r="Q32" s="100">
        <v>0</v>
      </c>
      <c r="R32" s="100">
        <v>0</v>
      </c>
    </row>
    <row r="33" spans="1:18" ht="38.25">
      <c r="A33" s="158">
        <v>19</v>
      </c>
      <c r="B33" s="160" t="s">
        <v>190</v>
      </c>
      <c r="C33" s="162"/>
      <c r="D33" s="109"/>
      <c r="E33" s="88"/>
      <c r="F33" s="109"/>
      <c r="G33" s="109"/>
      <c r="H33" s="109"/>
      <c r="I33" s="88"/>
      <c r="J33" s="109"/>
      <c r="K33" s="100">
        <v>0</v>
      </c>
      <c r="L33" s="100">
        <v>0</v>
      </c>
      <c r="M33" s="100">
        <v>0</v>
      </c>
      <c r="N33" s="100">
        <v>0</v>
      </c>
      <c r="O33" s="100">
        <v>0</v>
      </c>
      <c r="P33" s="100">
        <v>0</v>
      </c>
      <c r="Q33" s="100">
        <v>0</v>
      </c>
      <c r="R33" s="100">
        <v>0</v>
      </c>
    </row>
    <row r="34" spans="1:18" ht="25.5">
      <c r="A34" s="158">
        <v>20</v>
      </c>
      <c r="B34" s="160" t="s">
        <v>191</v>
      </c>
      <c r="C34" s="162"/>
      <c r="D34" s="109"/>
      <c r="E34" s="88"/>
      <c r="F34" s="109"/>
      <c r="G34" s="109"/>
      <c r="H34" s="109"/>
      <c r="I34" s="88"/>
      <c r="J34" s="109"/>
      <c r="K34" s="100">
        <v>0</v>
      </c>
      <c r="L34" s="100">
        <v>0</v>
      </c>
      <c r="M34" s="100">
        <v>0</v>
      </c>
      <c r="N34" s="100">
        <v>0</v>
      </c>
      <c r="O34" s="100">
        <v>0</v>
      </c>
      <c r="P34" s="100">
        <v>0</v>
      </c>
      <c r="Q34" s="100">
        <v>0</v>
      </c>
      <c r="R34" s="100">
        <v>0</v>
      </c>
    </row>
    <row r="35" spans="1:18" ht="25.5">
      <c r="A35" s="158">
        <v>21</v>
      </c>
      <c r="B35" s="160" t="s">
        <v>259</v>
      </c>
      <c r="C35" s="162"/>
      <c r="D35" s="109"/>
      <c r="E35" s="88"/>
      <c r="F35" s="109"/>
      <c r="G35" s="109"/>
      <c r="H35" s="109"/>
      <c r="I35" s="88"/>
      <c r="J35" s="109"/>
      <c r="K35" s="100">
        <v>0</v>
      </c>
      <c r="L35" s="100">
        <v>0</v>
      </c>
      <c r="M35" s="100">
        <v>0</v>
      </c>
      <c r="N35" s="100">
        <v>0</v>
      </c>
      <c r="O35" s="100">
        <v>0</v>
      </c>
      <c r="P35" s="100">
        <v>0</v>
      </c>
      <c r="Q35" s="100">
        <v>0</v>
      </c>
      <c r="R35" s="100">
        <v>0</v>
      </c>
    </row>
    <row r="36" spans="1:18" s="10" customFormat="1" ht="30" customHeight="1">
      <c r="A36" s="383" t="s">
        <v>98</v>
      </c>
      <c r="B36" s="384"/>
      <c r="C36" s="155">
        <f aca="true" t="shared" si="2" ref="C36:J36">SUM(C37:C99)</f>
        <v>0</v>
      </c>
      <c r="D36" s="155">
        <f t="shared" si="2"/>
        <v>0</v>
      </c>
      <c r="E36" s="155">
        <f t="shared" si="2"/>
        <v>0</v>
      </c>
      <c r="F36" s="155">
        <f t="shared" si="2"/>
        <v>0</v>
      </c>
      <c r="G36" s="155">
        <f t="shared" si="2"/>
        <v>0</v>
      </c>
      <c r="H36" s="155">
        <f t="shared" si="2"/>
        <v>0</v>
      </c>
      <c r="I36" s="155">
        <f t="shared" si="2"/>
        <v>0</v>
      </c>
      <c r="J36" s="155">
        <f t="shared" si="2"/>
        <v>0</v>
      </c>
      <c r="K36" s="155">
        <f aca="true" t="shared" si="3" ref="K36:R36">SUM(K37:K99)</f>
        <v>54675</v>
      </c>
      <c r="L36" s="155">
        <f t="shared" si="3"/>
        <v>45279</v>
      </c>
      <c r="M36" s="155">
        <f t="shared" si="3"/>
        <v>6262</v>
      </c>
      <c r="N36" s="155">
        <f t="shared" si="3"/>
        <v>3134</v>
      </c>
      <c r="O36" s="155">
        <f t="shared" si="3"/>
        <v>133</v>
      </c>
      <c r="P36" s="155">
        <f t="shared" si="3"/>
        <v>7545</v>
      </c>
      <c r="Q36" s="155">
        <f t="shared" si="3"/>
        <v>3200</v>
      </c>
      <c r="R36" s="155">
        <f t="shared" si="3"/>
        <v>4353</v>
      </c>
    </row>
    <row r="37" spans="1:18" s="10" customFormat="1" ht="15.75">
      <c r="A37" s="118">
        <v>1</v>
      </c>
      <c r="B37" s="119" t="s">
        <v>168</v>
      </c>
      <c r="C37" s="212">
        <v>0</v>
      </c>
      <c r="D37" s="212">
        <v>0</v>
      </c>
      <c r="E37" s="212">
        <v>0</v>
      </c>
      <c r="F37" s="212">
        <v>0</v>
      </c>
      <c r="G37" s="212">
        <v>0</v>
      </c>
      <c r="H37" s="212">
        <v>0</v>
      </c>
      <c r="I37" s="212">
        <v>0</v>
      </c>
      <c r="J37" s="212">
        <v>0</v>
      </c>
      <c r="K37" s="184">
        <f>L37+M37+N37</f>
        <v>1568</v>
      </c>
      <c r="L37" s="268">
        <v>1357</v>
      </c>
      <c r="M37" s="185">
        <v>128</v>
      </c>
      <c r="N37" s="185">
        <v>83</v>
      </c>
      <c r="O37" s="185">
        <v>8</v>
      </c>
      <c r="P37" s="184">
        <f>Q37+R37</f>
        <v>174</v>
      </c>
      <c r="Q37" s="185">
        <v>71</v>
      </c>
      <c r="R37" s="185">
        <v>103</v>
      </c>
    </row>
    <row r="38" spans="1:18" s="10" customFormat="1" ht="30.75" customHeight="1">
      <c r="A38" s="118">
        <v>2</v>
      </c>
      <c r="B38" s="119" t="s">
        <v>253</v>
      </c>
      <c r="C38" s="212">
        <v>0</v>
      </c>
      <c r="D38" s="212">
        <v>0</v>
      </c>
      <c r="E38" s="212">
        <v>0</v>
      </c>
      <c r="F38" s="212">
        <v>0</v>
      </c>
      <c r="G38" s="212">
        <v>0</v>
      </c>
      <c r="H38" s="212">
        <v>0</v>
      </c>
      <c r="I38" s="212">
        <v>0</v>
      </c>
      <c r="J38" s="212">
        <v>0</v>
      </c>
      <c r="K38" s="184">
        <f aca="true" t="shared" si="4" ref="K38:K99">L38+M38+N38</f>
        <v>430</v>
      </c>
      <c r="L38" s="185">
        <v>288</v>
      </c>
      <c r="M38" s="185">
        <v>78</v>
      </c>
      <c r="N38" s="185">
        <v>64</v>
      </c>
      <c r="O38" s="185">
        <v>5</v>
      </c>
      <c r="P38" s="184">
        <f aca="true" t="shared" si="5" ref="P38:P99">Q38+R38</f>
        <v>109</v>
      </c>
      <c r="Q38" s="185">
        <v>45</v>
      </c>
      <c r="R38" s="185">
        <v>64</v>
      </c>
    </row>
    <row r="39" spans="1:18" s="10" customFormat="1" ht="18" customHeight="1">
      <c r="A39" s="118">
        <v>3</v>
      </c>
      <c r="B39" s="119" t="s">
        <v>169</v>
      </c>
      <c r="C39" s="212">
        <v>0</v>
      </c>
      <c r="D39" s="212">
        <v>0</v>
      </c>
      <c r="E39" s="212">
        <v>0</v>
      </c>
      <c r="F39" s="212">
        <v>0</v>
      </c>
      <c r="G39" s="212">
        <v>0</v>
      </c>
      <c r="H39" s="212">
        <v>0</v>
      </c>
      <c r="I39" s="212">
        <v>0</v>
      </c>
      <c r="J39" s="212">
        <v>0</v>
      </c>
      <c r="K39" s="184">
        <f t="shared" si="4"/>
        <v>330</v>
      </c>
      <c r="L39" s="185">
        <v>226</v>
      </c>
      <c r="M39" s="185">
        <v>46</v>
      </c>
      <c r="N39" s="185">
        <v>58</v>
      </c>
      <c r="O39" s="185">
        <v>4</v>
      </c>
      <c r="P39" s="184">
        <f t="shared" si="5"/>
        <v>85</v>
      </c>
      <c r="Q39" s="185">
        <v>31</v>
      </c>
      <c r="R39" s="185">
        <v>54</v>
      </c>
    </row>
    <row r="40" spans="1:18" s="10" customFormat="1" ht="18" customHeight="1">
      <c r="A40" s="118">
        <v>4</v>
      </c>
      <c r="B40" s="119" t="s">
        <v>170</v>
      </c>
      <c r="C40" s="212">
        <v>0</v>
      </c>
      <c r="D40" s="212">
        <v>0</v>
      </c>
      <c r="E40" s="212">
        <v>0</v>
      </c>
      <c r="F40" s="212">
        <v>0</v>
      </c>
      <c r="G40" s="212">
        <v>0</v>
      </c>
      <c r="H40" s="212">
        <v>0</v>
      </c>
      <c r="I40" s="212">
        <v>0</v>
      </c>
      <c r="J40" s="212">
        <v>0</v>
      </c>
      <c r="K40" s="184">
        <f t="shared" si="4"/>
        <v>757</v>
      </c>
      <c r="L40" s="268">
        <v>648</v>
      </c>
      <c r="M40" s="185">
        <v>66</v>
      </c>
      <c r="N40" s="185">
        <v>43</v>
      </c>
      <c r="O40" s="185">
        <v>4</v>
      </c>
      <c r="P40" s="184">
        <f t="shared" si="5"/>
        <v>84</v>
      </c>
      <c r="Q40" s="185">
        <v>20</v>
      </c>
      <c r="R40" s="185">
        <v>64</v>
      </c>
    </row>
    <row r="41" spans="1:18" s="10" customFormat="1" ht="18" customHeight="1">
      <c r="A41" s="118">
        <v>5</v>
      </c>
      <c r="B41" s="119" t="s">
        <v>171</v>
      </c>
      <c r="C41" s="212">
        <v>0</v>
      </c>
      <c r="D41" s="212">
        <v>0</v>
      </c>
      <c r="E41" s="212">
        <v>0</v>
      </c>
      <c r="F41" s="212">
        <v>0</v>
      </c>
      <c r="G41" s="212">
        <v>0</v>
      </c>
      <c r="H41" s="212">
        <v>0</v>
      </c>
      <c r="I41" s="212">
        <v>0</v>
      </c>
      <c r="J41" s="212">
        <v>0</v>
      </c>
      <c r="K41" s="184">
        <f t="shared" si="4"/>
        <v>198</v>
      </c>
      <c r="L41" s="185">
        <v>114</v>
      </c>
      <c r="M41" s="185">
        <v>35</v>
      </c>
      <c r="N41" s="185">
        <v>49</v>
      </c>
      <c r="O41" s="347">
        <v>0</v>
      </c>
      <c r="P41" s="184">
        <f t="shared" si="5"/>
        <v>80</v>
      </c>
      <c r="Q41" s="185">
        <v>18</v>
      </c>
      <c r="R41" s="185">
        <v>62</v>
      </c>
    </row>
    <row r="42" spans="1:18" s="10" customFormat="1" ht="18" customHeight="1">
      <c r="A42" s="118">
        <v>6</v>
      </c>
      <c r="B42" s="319" t="s">
        <v>172</v>
      </c>
      <c r="C42" s="212">
        <v>0</v>
      </c>
      <c r="D42" s="212">
        <v>0</v>
      </c>
      <c r="E42" s="212">
        <v>0</v>
      </c>
      <c r="F42" s="212">
        <v>0</v>
      </c>
      <c r="G42" s="212">
        <v>0</v>
      </c>
      <c r="H42" s="212">
        <v>0</v>
      </c>
      <c r="I42" s="212">
        <v>0</v>
      </c>
      <c r="J42" s="212">
        <v>0</v>
      </c>
      <c r="K42" s="303"/>
      <c r="L42" s="340"/>
      <c r="M42" s="340"/>
      <c r="N42" s="340"/>
      <c r="O42" s="340"/>
      <c r="P42" s="303"/>
      <c r="Q42" s="340"/>
      <c r="R42" s="340"/>
    </row>
    <row r="43" spans="1:18" s="10" customFormat="1" ht="18" customHeight="1">
      <c r="A43" s="118">
        <v>7</v>
      </c>
      <c r="B43" s="119" t="s">
        <v>173</v>
      </c>
      <c r="C43" s="212">
        <v>0</v>
      </c>
      <c r="D43" s="212">
        <v>0</v>
      </c>
      <c r="E43" s="212">
        <v>0</v>
      </c>
      <c r="F43" s="212">
        <v>0</v>
      </c>
      <c r="G43" s="212">
        <v>0</v>
      </c>
      <c r="H43" s="212">
        <v>0</v>
      </c>
      <c r="I43" s="212">
        <v>0</v>
      </c>
      <c r="J43" s="212">
        <v>0</v>
      </c>
      <c r="K43" s="184">
        <f t="shared" si="4"/>
        <v>825</v>
      </c>
      <c r="L43" s="185">
        <v>695</v>
      </c>
      <c r="M43" s="185">
        <v>55</v>
      </c>
      <c r="N43" s="185">
        <v>75</v>
      </c>
      <c r="O43" s="185">
        <v>3</v>
      </c>
      <c r="P43" s="184">
        <f t="shared" si="5"/>
        <v>137</v>
      </c>
      <c r="Q43" s="185">
        <v>4</v>
      </c>
      <c r="R43" s="185">
        <v>133</v>
      </c>
    </row>
    <row r="44" spans="1:18" s="10" customFormat="1" ht="18" customHeight="1">
      <c r="A44" s="118">
        <v>8</v>
      </c>
      <c r="B44" s="119" t="s">
        <v>174</v>
      </c>
      <c r="C44" s="212">
        <v>0</v>
      </c>
      <c r="D44" s="212">
        <v>0</v>
      </c>
      <c r="E44" s="212">
        <v>0</v>
      </c>
      <c r="F44" s="212">
        <v>0</v>
      </c>
      <c r="G44" s="212">
        <v>0</v>
      </c>
      <c r="H44" s="212">
        <v>0</v>
      </c>
      <c r="I44" s="212">
        <v>0</v>
      </c>
      <c r="J44" s="212">
        <v>0</v>
      </c>
      <c r="K44" s="184">
        <f t="shared" si="4"/>
        <v>1330</v>
      </c>
      <c r="L44" s="185">
        <v>1153</v>
      </c>
      <c r="M44" s="185">
        <v>125</v>
      </c>
      <c r="N44" s="185">
        <v>52</v>
      </c>
      <c r="O44" s="185">
        <v>1</v>
      </c>
      <c r="P44" s="184">
        <f t="shared" si="5"/>
        <v>50</v>
      </c>
      <c r="Q44" s="185">
        <v>15</v>
      </c>
      <c r="R44" s="185">
        <v>35</v>
      </c>
    </row>
    <row r="45" spans="1:18" s="10" customFormat="1" ht="18" customHeight="1">
      <c r="A45" s="118">
        <v>9</v>
      </c>
      <c r="B45" s="119" t="s">
        <v>175</v>
      </c>
      <c r="C45" s="212">
        <v>0</v>
      </c>
      <c r="D45" s="212">
        <v>0</v>
      </c>
      <c r="E45" s="212">
        <v>0</v>
      </c>
      <c r="F45" s="212">
        <v>0</v>
      </c>
      <c r="G45" s="212">
        <v>0</v>
      </c>
      <c r="H45" s="212">
        <v>0</v>
      </c>
      <c r="I45" s="212">
        <v>0</v>
      </c>
      <c r="J45" s="212">
        <v>0</v>
      </c>
      <c r="K45" s="184">
        <f t="shared" si="4"/>
        <v>595</v>
      </c>
      <c r="L45" s="185">
        <v>383</v>
      </c>
      <c r="M45" s="185">
        <v>142</v>
      </c>
      <c r="N45" s="185">
        <v>70</v>
      </c>
      <c r="O45" s="185">
        <v>2</v>
      </c>
      <c r="P45" s="184">
        <f t="shared" si="5"/>
        <v>192</v>
      </c>
      <c r="Q45" s="185">
        <v>115</v>
      </c>
      <c r="R45" s="185">
        <v>77</v>
      </c>
    </row>
    <row r="46" spans="1:18" s="10" customFormat="1" ht="18" customHeight="1">
      <c r="A46" s="118">
        <v>10</v>
      </c>
      <c r="B46" s="119" t="s">
        <v>176</v>
      </c>
      <c r="C46" s="212">
        <v>0</v>
      </c>
      <c r="D46" s="212">
        <v>0</v>
      </c>
      <c r="E46" s="212">
        <v>0</v>
      </c>
      <c r="F46" s="212">
        <v>0</v>
      </c>
      <c r="G46" s="212">
        <v>0</v>
      </c>
      <c r="H46" s="212">
        <v>0</v>
      </c>
      <c r="I46" s="212">
        <v>0</v>
      </c>
      <c r="J46" s="212">
        <v>0</v>
      </c>
      <c r="K46" s="184">
        <f t="shared" si="4"/>
        <v>226</v>
      </c>
      <c r="L46" s="185">
        <v>152</v>
      </c>
      <c r="M46" s="185">
        <v>67</v>
      </c>
      <c r="N46" s="185">
        <v>7</v>
      </c>
      <c r="O46" s="347">
        <v>0</v>
      </c>
      <c r="P46" s="184">
        <f t="shared" si="5"/>
        <v>140</v>
      </c>
      <c r="Q46" s="185">
        <v>60</v>
      </c>
      <c r="R46" s="185">
        <v>80</v>
      </c>
    </row>
    <row r="47" spans="1:18" s="10" customFormat="1" ht="18" customHeight="1">
      <c r="A47" s="118">
        <v>11</v>
      </c>
      <c r="B47" s="119" t="s">
        <v>177</v>
      </c>
      <c r="C47" s="212">
        <v>0</v>
      </c>
      <c r="D47" s="212">
        <v>0</v>
      </c>
      <c r="E47" s="212">
        <v>0</v>
      </c>
      <c r="F47" s="212">
        <v>0</v>
      </c>
      <c r="G47" s="212">
        <v>0</v>
      </c>
      <c r="H47" s="212">
        <v>0</v>
      </c>
      <c r="I47" s="212">
        <v>0</v>
      </c>
      <c r="J47" s="212">
        <v>0</v>
      </c>
      <c r="K47" s="184">
        <f t="shared" si="4"/>
        <v>937</v>
      </c>
      <c r="L47" s="185">
        <v>726</v>
      </c>
      <c r="M47" s="185">
        <v>135</v>
      </c>
      <c r="N47" s="185">
        <v>76</v>
      </c>
      <c r="O47" s="185">
        <v>6</v>
      </c>
      <c r="P47" s="184">
        <f t="shared" si="5"/>
        <v>127</v>
      </c>
      <c r="Q47" s="185">
        <v>47</v>
      </c>
      <c r="R47" s="185">
        <v>80</v>
      </c>
    </row>
    <row r="48" spans="1:18" s="10" customFormat="1" ht="18" customHeight="1">
      <c r="A48" s="118">
        <v>12</v>
      </c>
      <c r="B48" s="119" t="s">
        <v>178</v>
      </c>
      <c r="C48" s="212">
        <v>0</v>
      </c>
      <c r="D48" s="212">
        <v>0</v>
      </c>
      <c r="E48" s="212">
        <v>0</v>
      </c>
      <c r="F48" s="212">
        <v>0</v>
      </c>
      <c r="G48" s="212">
        <v>0</v>
      </c>
      <c r="H48" s="212">
        <v>0</v>
      </c>
      <c r="I48" s="212">
        <v>0</v>
      </c>
      <c r="J48" s="212">
        <v>0</v>
      </c>
      <c r="K48" s="184">
        <f t="shared" si="4"/>
        <v>149</v>
      </c>
      <c r="L48" s="185">
        <v>104</v>
      </c>
      <c r="M48" s="185">
        <v>24</v>
      </c>
      <c r="N48" s="185">
        <v>21</v>
      </c>
      <c r="O48" s="347">
        <v>0</v>
      </c>
      <c r="P48" s="184">
        <f t="shared" si="5"/>
        <v>42</v>
      </c>
      <c r="Q48" s="185">
        <v>12</v>
      </c>
      <c r="R48" s="185">
        <v>30</v>
      </c>
    </row>
    <row r="49" spans="1:18" s="10" customFormat="1" ht="18" customHeight="1">
      <c r="A49" s="118">
        <v>13</v>
      </c>
      <c r="B49" s="119" t="s">
        <v>179</v>
      </c>
      <c r="C49" s="212">
        <v>0</v>
      </c>
      <c r="D49" s="212">
        <v>0</v>
      </c>
      <c r="E49" s="212">
        <v>0</v>
      </c>
      <c r="F49" s="212">
        <v>0</v>
      </c>
      <c r="G49" s="212">
        <v>0</v>
      </c>
      <c r="H49" s="212">
        <v>0</v>
      </c>
      <c r="I49" s="212">
        <v>0</v>
      </c>
      <c r="J49" s="212">
        <v>0</v>
      </c>
      <c r="K49" s="184">
        <f t="shared" si="4"/>
        <v>190</v>
      </c>
      <c r="L49" s="185">
        <v>122</v>
      </c>
      <c r="M49" s="185">
        <v>29</v>
      </c>
      <c r="N49" s="185">
        <v>39</v>
      </c>
      <c r="O49" s="185">
        <v>1</v>
      </c>
      <c r="P49" s="184">
        <f t="shared" si="5"/>
        <v>87</v>
      </c>
      <c r="Q49" s="185">
        <v>35</v>
      </c>
      <c r="R49" s="185">
        <v>52</v>
      </c>
    </row>
    <row r="50" spans="1:18" s="10" customFormat="1" ht="18" customHeight="1">
      <c r="A50" s="118">
        <v>14</v>
      </c>
      <c r="B50" s="119" t="s">
        <v>180</v>
      </c>
      <c r="C50" s="212">
        <v>0</v>
      </c>
      <c r="D50" s="212">
        <v>0</v>
      </c>
      <c r="E50" s="212">
        <v>0</v>
      </c>
      <c r="F50" s="212">
        <v>0</v>
      </c>
      <c r="G50" s="212">
        <v>0</v>
      </c>
      <c r="H50" s="212">
        <v>0</v>
      </c>
      <c r="I50" s="212">
        <v>0</v>
      </c>
      <c r="J50" s="212">
        <v>0</v>
      </c>
      <c r="K50" s="184">
        <f t="shared" si="4"/>
        <v>51</v>
      </c>
      <c r="L50" s="279">
        <v>12</v>
      </c>
      <c r="M50" s="279">
        <v>17</v>
      </c>
      <c r="N50" s="279">
        <v>22</v>
      </c>
      <c r="O50" s="279">
        <v>3</v>
      </c>
      <c r="P50" s="184">
        <f>R50</f>
        <v>33</v>
      </c>
      <c r="Q50" s="185">
        <v>8</v>
      </c>
      <c r="R50" s="185">
        <v>33</v>
      </c>
    </row>
    <row r="51" spans="1:18" s="10" customFormat="1" ht="18" customHeight="1">
      <c r="A51" s="118">
        <v>15</v>
      </c>
      <c r="B51" s="119" t="s">
        <v>181</v>
      </c>
      <c r="C51" s="212">
        <v>0</v>
      </c>
      <c r="D51" s="212">
        <v>0</v>
      </c>
      <c r="E51" s="212">
        <v>0</v>
      </c>
      <c r="F51" s="212">
        <v>0</v>
      </c>
      <c r="G51" s="212">
        <v>0</v>
      </c>
      <c r="H51" s="212">
        <v>0</v>
      </c>
      <c r="I51" s="212">
        <v>0</v>
      </c>
      <c r="J51" s="212">
        <v>0</v>
      </c>
      <c r="K51" s="184">
        <f t="shared" si="4"/>
        <v>109</v>
      </c>
      <c r="L51" s="185">
        <v>37</v>
      </c>
      <c r="M51" s="185">
        <v>7</v>
      </c>
      <c r="N51" s="185">
        <v>65</v>
      </c>
      <c r="O51" s="185">
        <v>3</v>
      </c>
      <c r="P51" s="184">
        <f t="shared" si="5"/>
        <v>103</v>
      </c>
      <c r="Q51" s="185">
        <v>9</v>
      </c>
      <c r="R51" s="185">
        <v>94</v>
      </c>
    </row>
    <row r="52" spans="1:18" s="10" customFormat="1" ht="18" customHeight="1">
      <c r="A52" s="118">
        <v>16</v>
      </c>
      <c r="B52" s="119" t="s">
        <v>182</v>
      </c>
      <c r="C52" s="212">
        <v>0</v>
      </c>
      <c r="D52" s="212">
        <v>0</v>
      </c>
      <c r="E52" s="212">
        <v>0</v>
      </c>
      <c r="F52" s="212">
        <v>0</v>
      </c>
      <c r="G52" s="212">
        <v>0</v>
      </c>
      <c r="H52" s="212">
        <v>0</v>
      </c>
      <c r="I52" s="212">
        <v>0</v>
      </c>
      <c r="J52" s="212">
        <v>0</v>
      </c>
      <c r="K52" s="184">
        <f t="shared" si="4"/>
        <v>346</v>
      </c>
      <c r="L52" s="185">
        <v>237</v>
      </c>
      <c r="M52" s="185">
        <v>45</v>
      </c>
      <c r="N52" s="185">
        <v>64</v>
      </c>
      <c r="O52" s="185">
        <v>4</v>
      </c>
      <c r="P52" s="184">
        <f t="shared" si="5"/>
        <v>108</v>
      </c>
      <c r="Q52" s="185">
        <v>34</v>
      </c>
      <c r="R52" s="185">
        <v>74</v>
      </c>
    </row>
    <row r="53" spans="1:18" s="10" customFormat="1" ht="18" customHeight="1">
      <c r="A53" s="118">
        <v>17</v>
      </c>
      <c r="B53" s="119" t="s">
        <v>183</v>
      </c>
      <c r="C53" s="212">
        <v>0</v>
      </c>
      <c r="D53" s="212">
        <v>0</v>
      </c>
      <c r="E53" s="212">
        <v>0</v>
      </c>
      <c r="F53" s="212">
        <v>0</v>
      </c>
      <c r="G53" s="212">
        <v>0</v>
      </c>
      <c r="H53" s="212">
        <v>0</v>
      </c>
      <c r="I53" s="212">
        <v>0</v>
      </c>
      <c r="J53" s="212">
        <v>0</v>
      </c>
      <c r="K53" s="184">
        <f t="shared" si="4"/>
        <v>273</v>
      </c>
      <c r="L53" s="185">
        <v>179</v>
      </c>
      <c r="M53" s="185">
        <v>51</v>
      </c>
      <c r="N53" s="185">
        <v>43</v>
      </c>
      <c r="O53" s="185">
        <v>2</v>
      </c>
      <c r="P53" s="184">
        <f t="shared" si="5"/>
        <v>85</v>
      </c>
      <c r="Q53" s="185">
        <v>24</v>
      </c>
      <c r="R53" s="185">
        <v>61</v>
      </c>
    </row>
    <row r="54" spans="1:18" s="10" customFormat="1" ht="18" customHeight="1">
      <c r="A54" s="118">
        <v>18</v>
      </c>
      <c r="B54" s="119" t="s">
        <v>184</v>
      </c>
      <c r="C54" s="212">
        <v>0</v>
      </c>
      <c r="D54" s="212">
        <v>0</v>
      </c>
      <c r="E54" s="212">
        <v>0</v>
      </c>
      <c r="F54" s="212">
        <v>0</v>
      </c>
      <c r="G54" s="212">
        <v>0</v>
      </c>
      <c r="H54" s="212">
        <v>0</v>
      </c>
      <c r="I54" s="212">
        <v>0</v>
      </c>
      <c r="J54" s="212">
        <v>0</v>
      </c>
      <c r="K54" s="184">
        <f t="shared" si="4"/>
        <v>460</v>
      </c>
      <c r="L54" s="185">
        <v>359</v>
      </c>
      <c r="M54" s="185">
        <v>57</v>
      </c>
      <c r="N54" s="185">
        <v>44</v>
      </c>
      <c r="O54" s="185">
        <v>8</v>
      </c>
      <c r="P54" s="184">
        <f t="shared" si="5"/>
        <v>75</v>
      </c>
      <c r="Q54" s="185">
        <v>11</v>
      </c>
      <c r="R54" s="185">
        <v>64</v>
      </c>
    </row>
    <row r="55" spans="1:18" s="10" customFormat="1" ht="18" customHeight="1">
      <c r="A55" s="118">
        <v>19</v>
      </c>
      <c r="B55" s="120" t="s">
        <v>202</v>
      </c>
      <c r="C55" s="212">
        <v>0</v>
      </c>
      <c r="D55" s="212">
        <v>0</v>
      </c>
      <c r="E55" s="212">
        <v>0</v>
      </c>
      <c r="F55" s="212">
        <v>0</v>
      </c>
      <c r="G55" s="212">
        <v>0</v>
      </c>
      <c r="H55" s="212">
        <v>0</v>
      </c>
      <c r="I55" s="212">
        <v>0</v>
      </c>
      <c r="J55" s="212">
        <v>0</v>
      </c>
      <c r="K55" s="184">
        <f t="shared" si="4"/>
        <v>1434</v>
      </c>
      <c r="L55" s="187">
        <v>1145</v>
      </c>
      <c r="M55" s="187">
        <v>174</v>
      </c>
      <c r="N55" s="187">
        <v>115</v>
      </c>
      <c r="O55" s="187">
        <v>3</v>
      </c>
      <c r="P55" s="184">
        <f t="shared" si="5"/>
        <v>151</v>
      </c>
      <c r="Q55" s="187">
        <v>58</v>
      </c>
      <c r="R55" s="187">
        <v>93</v>
      </c>
    </row>
    <row r="56" spans="1:18" s="10" customFormat="1" ht="18" customHeight="1">
      <c r="A56" s="118">
        <v>20</v>
      </c>
      <c r="B56" s="120" t="s">
        <v>203</v>
      </c>
      <c r="C56" s="212">
        <v>0</v>
      </c>
      <c r="D56" s="212">
        <v>0</v>
      </c>
      <c r="E56" s="212">
        <v>0</v>
      </c>
      <c r="F56" s="212">
        <v>0</v>
      </c>
      <c r="G56" s="212">
        <v>0</v>
      </c>
      <c r="H56" s="212">
        <v>0</v>
      </c>
      <c r="I56" s="212">
        <v>0</v>
      </c>
      <c r="J56" s="212">
        <v>0</v>
      </c>
      <c r="K56" s="184">
        <f t="shared" si="4"/>
        <v>765</v>
      </c>
      <c r="L56" s="187">
        <v>597</v>
      </c>
      <c r="M56" s="187">
        <v>132</v>
      </c>
      <c r="N56" s="187">
        <v>36</v>
      </c>
      <c r="O56" s="347">
        <v>0</v>
      </c>
      <c r="P56" s="184">
        <f t="shared" si="5"/>
        <v>134</v>
      </c>
      <c r="Q56" s="187">
        <v>42</v>
      </c>
      <c r="R56" s="187">
        <v>92</v>
      </c>
    </row>
    <row r="57" spans="1:18" s="10" customFormat="1" ht="18" customHeight="1">
      <c r="A57" s="118">
        <v>21</v>
      </c>
      <c r="B57" s="120" t="s">
        <v>204</v>
      </c>
      <c r="C57" s="212">
        <v>0</v>
      </c>
      <c r="D57" s="212">
        <v>0</v>
      </c>
      <c r="E57" s="212">
        <v>0</v>
      </c>
      <c r="F57" s="212">
        <v>0</v>
      </c>
      <c r="G57" s="212">
        <v>0</v>
      </c>
      <c r="H57" s="212">
        <v>0</v>
      </c>
      <c r="I57" s="212">
        <v>0</v>
      </c>
      <c r="J57" s="212">
        <v>0</v>
      </c>
      <c r="K57" s="184">
        <f t="shared" si="4"/>
        <v>404</v>
      </c>
      <c r="L57" s="187"/>
      <c r="M57" s="187">
        <v>343</v>
      </c>
      <c r="N57" s="187">
        <v>61</v>
      </c>
      <c r="O57" s="187">
        <v>2</v>
      </c>
      <c r="P57" s="184">
        <f t="shared" si="5"/>
        <v>127</v>
      </c>
      <c r="Q57" s="187">
        <v>53</v>
      </c>
      <c r="R57" s="187">
        <v>74</v>
      </c>
    </row>
    <row r="58" spans="1:18" s="10" customFormat="1" ht="18" customHeight="1">
      <c r="A58" s="118">
        <v>22</v>
      </c>
      <c r="B58" s="120" t="s">
        <v>205</v>
      </c>
      <c r="C58" s="212">
        <v>0</v>
      </c>
      <c r="D58" s="212">
        <v>0</v>
      </c>
      <c r="E58" s="212">
        <v>0</v>
      </c>
      <c r="F58" s="212">
        <v>0</v>
      </c>
      <c r="G58" s="212">
        <v>0</v>
      </c>
      <c r="H58" s="212">
        <v>0</v>
      </c>
      <c r="I58" s="212">
        <v>0</v>
      </c>
      <c r="J58" s="212">
        <v>0</v>
      </c>
      <c r="K58" s="184">
        <f t="shared" si="4"/>
        <v>15</v>
      </c>
      <c r="L58" s="187"/>
      <c r="M58" s="187">
        <v>15</v>
      </c>
      <c r="N58" s="347">
        <v>0</v>
      </c>
      <c r="O58" s="187"/>
      <c r="P58" s="184">
        <f t="shared" si="5"/>
        <v>54</v>
      </c>
      <c r="Q58" s="187">
        <v>4</v>
      </c>
      <c r="R58" s="187">
        <v>50</v>
      </c>
    </row>
    <row r="59" spans="1:18" s="10" customFormat="1" ht="18" customHeight="1">
      <c r="A59" s="118">
        <v>23</v>
      </c>
      <c r="B59" s="120" t="s">
        <v>206</v>
      </c>
      <c r="C59" s="212">
        <v>0</v>
      </c>
      <c r="D59" s="212">
        <v>0</v>
      </c>
      <c r="E59" s="212">
        <v>0</v>
      </c>
      <c r="F59" s="212">
        <v>0</v>
      </c>
      <c r="G59" s="212">
        <v>0</v>
      </c>
      <c r="H59" s="212">
        <v>0</v>
      </c>
      <c r="I59" s="212">
        <v>0</v>
      </c>
      <c r="J59" s="212">
        <v>0</v>
      </c>
      <c r="K59" s="184">
        <f t="shared" si="4"/>
        <v>790</v>
      </c>
      <c r="L59" s="187">
        <v>643</v>
      </c>
      <c r="M59" s="187">
        <v>69</v>
      </c>
      <c r="N59" s="187">
        <v>78</v>
      </c>
      <c r="O59" s="187">
        <v>2</v>
      </c>
      <c r="P59" s="184">
        <f t="shared" si="5"/>
        <v>120</v>
      </c>
      <c r="Q59" s="187">
        <v>38</v>
      </c>
      <c r="R59" s="187">
        <v>82</v>
      </c>
    </row>
    <row r="60" spans="1:18" s="10" customFormat="1" ht="18" customHeight="1">
      <c r="A60" s="118">
        <v>24</v>
      </c>
      <c r="B60" s="120" t="s">
        <v>207</v>
      </c>
      <c r="C60" s="212">
        <v>0</v>
      </c>
      <c r="D60" s="212">
        <v>0</v>
      </c>
      <c r="E60" s="212">
        <v>0</v>
      </c>
      <c r="F60" s="212">
        <v>0</v>
      </c>
      <c r="G60" s="212">
        <v>0</v>
      </c>
      <c r="H60" s="212">
        <v>0</v>
      </c>
      <c r="I60" s="212">
        <v>0</v>
      </c>
      <c r="J60" s="212">
        <v>0</v>
      </c>
      <c r="K60" s="184">
        <f t="shared" si="4"/>
        <v>520</v>
      </c>
      <c r="L60" s="187">
        <v>455</v>
      </c>
      <c r="M60" s="187">
        <v>53</v>
      </c>
      <c r="N60" s="187">
        <v>12</v>
      </c>
      <c r="O60" s="347">
        <v>0</v>
      </c>
      <c r="P60" s="184">
        <f>Q60+R60</f>
        <v>72</v>
      </c>
      <c r="Q60" s="187">
        <v>7</v>
      </c>
      <c r="R60" s="187">
        <v>65</v>
      </c>
    </row>
    <row r="61" spans="1:18" s="10" customFormat="1" ht="18" customHeight="1">
      <c r="A61" s="118">
        <v>25</v>
      </c>
      <c r="B61" s="120" t="s">
        <v>208</v>
      </c>
      <c r="C61" s="212">
        <v>0</v>
      </c>
      <c r="D61" s="212">
        <v>0</v>
      </c>
      <c r="E61" s="212">
        <v>0</v>
      </c>
      <c r="F61" s="212">
        <v>0</v>
      </c>
      <c r="G61" s="212">
        <v>0</v>
      </c>
      <c r="H61" s="212">
        <v>0</v>
      </c>
      <c r="I61" s="212">
        <v>0</v>
      </c>
      <c r="J61" s="212">
        <v>0</v>
      </c>
      <c r="K61" s="184">
        <f t="shared" si="4"/>
        <v>834</v>
      </c>
      <c r="L61" s="187">
        <v>701</v>
      </c>
      <c r="M61" s="187">
        <v>74</v>
      </c>
      <c r="N61" s="187">
        <v>59</v>
      </c>
      <c r="O61" s="187">
        <v>3</v>
      </c>
      <c r="P61" s="184">
        <f t="shared" si="5"/>
        <v>164</v>
      </c>
      <c r="Q61" s="187">
        <v>96</v>
      </c>
      <c r="R61" s="187">
        <v>68</v>
      </c>
    </row>
    <row r="62" spans="1:18" s="10" customFormat="1" ht="18" customHeight="1">
      <c r="A62" s="118">
        <v>26</v>
      </c>
      <c r="B62" s="120" t="s">
        <v>209</v>
      </c>
      <c r="C62" s="212">
        <v>0</v>
      </c>
      <c r="D62" s="212">
        <v>0</v>
      </c>
      <c r="E62" s="212">
        <v>0</v>
      </c>
      <c r="F62" s="212">
        <v>0</v>
      </c>
      <c r="G62" s="212">
        <v>0</v>
      </c>
      <c r="H62" s="212">
        <v>0</v>
      </c>
      <c r="I62" s="212">
        <v>0</v>
      </c>
      <c r="J62" s="212">
        <v>0</v>
      </c>
      <c r="K62" s="184">
        <f t="shared" si="4"/>
        <v>1655</v>
      </c>
      <c r="L62" s="187">
        <v>1509</v>
      </c>
      <c r="M62" s="187">
        <v>118</v>
      </c>
      <c r="N62" s="187">
        <v>28</v>
      </c>
      <c r="O62" s="347">
        <v>0</v>
      </c>
      <c r="P62" s="184">
        <f t="shared" si="5"/>
        <v>75</v>
      </c>
      <c r="Q62" s="187">
        <v>49</v>
      </c>
      <c r="R62" s="187">
        <v>26</v>
      </c>
    </row>
    <row r="63" spans="1:18" s="10" customFormat="1" ht="18" customHeight="1">
      <c r="A63" s="118">
        <v>27</v>
      </c>
      <c r="B63" s="120" t="s">
        <v>210</v>
      </c>
      <c r="C63" s="212">
        <v>0</v>
      </c>
      <c r="D63" s="212">
        <v>0</v>
      </c>
      <c r="E63" s="212">
        <v>0</v>
      </c>
      <c r="F63" s="212">
        <v>0</v>
      </c>
      <c r="G63" s="212">
        <v>0</v>
      </c>
      <c r="H63" s="212">
        <v>0</v>
      </c>
      <c r="I63" s="212">
        <v>0</v>
      </c>
      <c r="J63" s="212">
        <v>0</v>
      </c>
      <c r="K63" s="184">
        <f t="shared" si="4"/>
        <v>491</v>
      </c>
      <c r="L63" s="187">
        <v>394</v>
      </c>
      <c r="M63" s="187">
        <v>63</v>
      </c>
      <c r="N63" s="187">
        <v>34</v>
      </c>
      <c r="O63" s="187">
        <v>1</v>
      </c>
      <c r="P63" s="184">
        <f t="shared" si="5"/>
        <v>145</v>
      </c>
      <c r="Q63" s="187">
        <v>76</v>
      </c>
      <c r="R63" s="187">
        <v>69</v>
      </c>
    </row>
    <row r="64" spans="1:18" s="10" customFormat="1" ht="18" customHeight="1">
      <c r="A64" s="118">
        <v>28</v>
      </c>
      <c r="B64" s="120" t="s">
        <v>211</v>
      </c>
      <c r="C64" s="212">
        <v>0</v>
      </c>
      <c r="D64" s="212">
        <v>0</v>
      </c>
      <c r="E64" s="212">
        <v>0</v>
      </c>
      <c r="F64" s="212">
        <v>0</v>
      </c>
      <c r="G64" s="212">
        <v>0</v>
      </c>
      <c r="H64" s="212">
        <v>0</v>
      </c>
      <c r="I64" s="212">
        <v>0</v>
      </c>
      <c r="J64" s="212">
        <v>0</v>
      </c>
      <c r="K64" s="184">
        <f t="shared" si="4"/>
        <v>527</v>
      </c>
      <c r="L64" s="187">
        <v>412</v>
      </c>
      <c r="M64" s="187">
        <v>68</v>
      </c>
      <c r="N64" s="187">
        <v>47</v>
      </c>
      <c r="O64" s="187">
        <v>2</v>
      </c>
      <c r="P64" s="184">
        <f t="shared" si="5"/>
        <v>123</v>
      </c>
      <c r="Q64" s="187">
        <v>40</v>
      </c>
      <c r="R64" s="187">
        <v>83</v>
      </c>
    </row>
    <row r="65" spans="1:18" s="10" customFormat="1" ht="18" customHeight="1">
      <c r="A65" s="118">
        <v>29</v>
      </c>
      <c r="B65" s="120" t="s">
        <v>212</v>
      </c>
      <c r="C65" s="212">
        <v>0</v>
      </c>
      <c r="D65" s="212">
        <v>0</v>
      </c>
      <c r="E65" s="212">
        <v>0</v>
      </c>
      <c r="F65" s="212">
        <v>0</v>
      </c>
      <c r="G65" s="212">
        <v>0</v>
      </c>
      <c r="H65" s="212">
        <v>0</v>
      </c>
      <c r="I65" s="212">
        <v>0</v>
      </c>
      <c r="J65" s="212">
        <v>0</v>
      </c>
      <c r="K65" s="184">
        <f t="shared" si="4"/>
        <v>503</v>
      </c>
      <c r="L65" s="187">
        <v>406</v>
      </c>
      <c r="M65" s="187">
        <v>47</v>
      </c>
      <c r="N65" s="187">
        <v>50</v>
      </c>
      <c r="O65" s="342">
        <v>0</v>
      </c>
      <c r="P65" s="184">
        <f t="shared" si="5"/>
        <v>74</v>
      </c>
      <c r="Q65" s="187">
        <v>24</v>
      </c>
      <c r="R65" s="187">
        <v>50</v>
      </c>
    </row>
    <row r="66" spans="1:18" s="10" customFormat="1" ht="18" customHeight="1">
      <c r="A66" s="118">
        <v>30</v>
      </c>
      <c r="B66" s="120" t="s">
        <v>213</v>
      </c>
      <c r="C66" s="212">
        <v>0</v>
      </c>
      <c r="D66" s="212">
        <v>0</v>
      </c>
      <c r="E66" s="212">
        <v>0</v>
      </c>
      <c r="F66" s="212">
        <v>0</v>
      </c>
      <c r="G66" s="212">
        <v>0</v>
      </c>
      <c r="H66" s="212">
        <v>0</v>
      </c>
      <c r="I66" s="212">
        <v>0</v>
      </c>
      <c r="J66" s="212">
        <v>0</v>
      </c>
      <c r="K66" s="184">
        <f t="shared" si="4"/>
        <v>969</v>
      </c>
      <c r="L66" s="187">
        <v>764</v>
      </c>
      <c r="M66" s="187">
        <v>176</v>
      </c>
      <c r="N66" s="187">
        <v>29</v>
      </c>
      <c r="O66" s="342">
        <v>0</v>
      </c>
      <c r="P66" s="184">
        <f t="shared" si="5"/>
        <v>148</v>
      </c>
      <c r="Q66" s="187">
        <v>125</v>
      </c>
      <c r="R66" s="187">
        <v>23</v>
      </c>
    </row>
    <row r="67" spans="1:18" s="10" customFormat="1" ht="18" customHeight="1">
      <c r="A67" s="118">
        <v>31</v>
      </c>
      <c r="B67" s="120" t="s">
        <v>214</v>
      </c>
      <c r="C67" s="212">
        <v>0</v>
      </c>
      <c r="D67" s="212">
        <v>0</v>
      </c>
      <c r="E67" s="212">
        <v>0</v>
      </c>
      <c r="F67" s="212">
        <v>0</v>
      </c>
      <c r="G67" s="212">
        <v>0</v>
      </c>
      <c r="H67" s="212">
        <v>0</v>
      </c>
      <c r="I67" s="212">
        <v>0</v>
      </c>
      <c r="J67" s="212">
        <v>0</v>
      </c>
      <c r="K67" s="184">
        <f t="shared" si="4"/>
        <v>189</v>
      </c>
      <c r="L67" s="187">
        <v>131</v>
      </c>
      <c r="M67" s="187">
        <v>8</v>
      </c>
      <c r="N67" s="187">
        <v>50</v>
      </c>
      <c r="O67" s="342">
        <v>0</v>
      </c>
      <c r="P67" s="184">
        <f t="shared" si="5"/>
        <v>62</v>
      </c>
      <c r="Q67" s="187">
        <v>9</v>
      </c>
      <c r="R67" s="187">
        <v>53</v>
      </c>
    </row>
    <row r="68" spans="1:18" s="10" customFormat="1" ht="18" customHeight="1">
      <c r="A68" s="118">
        <v>32</v>
      </c>
      <c r="B68" s="120" t="s">
        <v>215</v>
      </c>
      <c r="C68" s="212">
        <v>0</v>
      </c>
      <c r="D68" s="212">
        <v>0</v>
      </c>
      <c r="E68" s="212">
        <v>0</v>
      </c>
      <c r="F68" s="212">
        <v>0</v>
      </c>
      <c r="G68" s="212">
        <v>0</v>
      </c>
      <c r="H68" s="212">
        <v>0</v>
      </c>
      <c r="I68" s="212">
        <v>0</v>
      </c>
      <c r="J68" s="212">
        <v>0</v>
      </c>
      <c r="K68" s="184">
        <f t="shared" si="4"/>
        <v>1267</v>
      </c>
      <c r="L68" s="187">
        <v>1128</v>
      </c>
      <c r="M68" s="187">
        <v>81</v>
      </c>
      <c r="N68" s="187">
        <v>58</v>
      </c>
      <c r="O68" s="187">
        <v>2</v>
      </c>
      <c r="P68" s="184">
        <f t="shared" si="5"/>
        <v>60</v>
      </c>
      <c r="Q68" s="187">
        <v>5</v>
      </c>
      <c r="R68" s="187">
        <v>55</v>
      </c>
    </row>
    <row r="69" spans="1:18" s="10" customFormat="1" ht="18" customHeight="1">
      <c r="A69" s="118">
        <v>33</v>
      </c>
      <c r="B69" s="120" t="s">
        <v>216</v>
      </c>
      <c r="C69" s="212">
        <v>0</v>
      </c>
      <c r="D69" s="212">
        <v>0</v>
      </c>
      <c r="E69" s="212">
        <v>0</v>
      </c>
      <c r="F69" s="212">
        <v>0</v>
      </c>
      <c r="G69" s="212">
        <v>0</v>
      </c>
      <c r="H69" s="212">
        <v>0</v>
      </c>
      <c r="I69" s="212">
        <v>0</v>
      </c>
      <c r="J69" s="212">
        <v>0</v>
      </c>
      <c r="K69" s="184">
        <f t="shared" si="4"/>
        <v>554</v>
      </c>
      <c r="L69" s="187">
        <v>403</v>
      </c>
      <c r="M69" s="187">
        <v>76</v>
      </c>
      <c r="N69" s="187">
        <v>75</v>
      </c>
      <c r="O69" s="187">
        <v>5</v>
      </c>
      <c r="P69" s="184">
        <f t="shared" si="5"/>
        <v>167</v>
      </c>
      <c r="Q69" s="187">
        <v>54</v>
      </c>
      <c r="R69" s="187">
        <v>113</v>
      </c>
    </row>
    <row r="70" spans="1:18" s="10" customFormat="1" ht="18" customHeight="1">
      <c r="A70" s="118">
        <v>34</v>
      </c>
      <c r="B70" s="120" t="s">
        <v>217</v>
      </c>
      <c r="C70" s="212">
        <v>0</v>
      </c>
      <c r="D70" s="212">
        <v>0</v>
      </c>
      <c r="E70" s="212">
        <v>0</v>
      </c>
      <c r="F70" s="212">
        <v>0</v>
      </c>
      <c r="G70" s="212">
        <v>0</v>
      </c>
      <c r="H70" s="212">
        <v>0</v>
      </c>
      <c r="I70" s="212">
        <v>0</v>
      </c>
      <c r="J70" s="212">
        <v>0</v>
      </c>
      <c r="K70" s="184">
        <f t="shared" si="4"/>
        <v>654</v>
      </c>
      <c r="L70" s="187">
        <v>523</v>
      </c>
      <c r="M70" s="187">
        <v>93</v>
      </c>
      <c r="N70" s="187">
        <v>38</v>
      </c>
      <c r="O70" s="187">
        <v>1</v>
      </c>
      <c r="P70" s="184">
        <f t="shared" si="5"/>
        <v>77</v>
      </c>
      <c r="Q70" s="187">
        <v>6</v>
      </c>
      <c r="R70" s="187">
        <v>71</v>
      </c>
    </row>
    <row r="71" spans="1:18" s="10" customFormat="1" ht="18" customHeight="1">
      <c r="A71" s="118">
        <v>35</v>
      </c>
      <c r="B71" s="120" t="s">
        <v>218</v>
      </c>
      <c r="C71" s="212">
        <v>0</v>
      </c>
      <c r="D71" s="212">
        <v>0</v>
      </c>
      <c r="E71" s="212">
        <v>0</v>
      </c>
      <c r="F71" s="212">
        <v>0</v>
      </c>
      <c r="G71" s="212">
        <v>0</v>
      </c>
      <c r="H71" s="212">
        <v>0</v>
      </c>
      <c r="I71" s="212">
        <v>0</v>
      </c>
      <c r="J71" s="212">
        <v>0</v>
      </c>
      <c r="K71" s="184">
        <f t="shared" si="4"/>
        <v>813</v>
      </c>
      <c r="L71" s="187">
        <v>612</v>
      </c>
      <c r="M71" s="187">
        <v>119</v>
      </c>
      <c r="N71" s="187">
        <v>82</v>
      </c>
      <c r="O71" s="187">
        <v>5</v>
      </c>
      <c r="P71" s="184">
        <f t="shared" si="5"/>
        <v>159</v>
      </c>
      <c r="Q71" s="187">
        <v>64</v>
      </c>
      <c r="R71" s="187">
        <v>95</v>
      </c>
    </row>
    <row r="72" spans="1:18" s="10" customFormat="1" ht="18" customHeight="1">
      <c r="A72" s="118">
        <v>36</v>
      </c>
      <c r="B72" s="121" t="s">
        <v>219</v>
      </c>
      <c r="C72" s="212">
        <v>0</v>
      </c>
      <c r="D72" s="212">
        <v>0</v>
      </c>
      <c r="E72" s="212">
        <v>0</v>
      </c>
      <c r="F72" s="212">
        <v>0</v>
      </c>
      <c r="G72" s="212">
        <v>0</v>
      </c>
      <c r="H72" s="212">
        <v>0</v>
      </c>
      <c r="I72" s="212">
        <v>0</v>
      </c>
      <c r="J72" s="212">
        <v>0</v>
      </c>
      <c r="K72" s="184">
        <f t="shared" si="4"/>
        <v>1365</v>
      </c>
      <c r="L72" s="215">
        <v>1250</v>
      </c>
      <c r="M72" s="215">
        <v>61</v>
      </c>
      <c r="N72" s="215">
        <v>54</v>
      </c>
      <c r="O72" s="215">
        <v>3</v>
      </c>
      <c r="P72" s="184">
        <f t="shared" si="5"/>
        <v>68</v>
      </c>
      <c r="Q72" s="215">
        <v>1</v>
      </c>
      <c r="R72" s="215">
        <v>67</v>
      </c>
    </row>
    <row r="73" spans="1:18" s="10" customFormat="1" ht="18" customHeight="1">
      <c r="A73" s="118">
        <v>37</v>
      </c>
      <c r="B73" s="121" t="s">
        <v>220</v>
      </c>
      <c r="C73" s="212">
        <v>0</v>
      </c>
      <c r="D73" s="212">
        <v>0</v>
      </c>
      <c r="E73" s="212">
        <v>0</v>
      </c>
      <c r="F73" s="212">
        <v>0</v>
      </c>
      <c r="G73" s="212">
        <v>0</v>
      </c>
      <c r="H73" s="212">
        <v>0</v>
      </c>
      <c r="I73" s="212">
        <v>0</v>
      </c>
      <c r="J73" s="212">
        <v>0</v>
      </c>
      <c r="K73" s="184">
        <f t="shared" si="4"/>
        <v>417</v>
      </c>
      <c r="L73" s="215">
        <v>303</v>
      </c>
      <c r="M73" s="215">
        <v>28</v>
      </c>
      <c r="N73" s="215">
        <v>86</v>
      </c>
      <c r="O73" s="215">
        <v>3</v>
      </c>
      <c r="P73" s="184">
        <f t="shared" si="5"/>
        <v>131</v>
      </c>
      <c r="Q73" s="215">
        <v>28</v>
      </c>
      <c r="R73" s="215">
        <v>103</v>
      </c>
    </row>
    <row r="74" spans="1:18" s="10" customFormat="1" ht="18" customHeight="1">
      <c r="A74" s="118">
        <v>38</v>
      </c>
      <c r="B74" s="121" t="s">
        <v>221</v>
      </c>
      <c r="C74" s="212">
        <v>0</v>
      </c>
      <c r="D74" s="212">
        <v>0</v>
      </c>
      <c r="E74" s="212">
        <v>0</v>
      </c>
      <c r="F74" s="212">
        <v>0</v>
      </c>
      <c r="G74" s="212">
        <v>0</v>
      </c>
      <c r="H74" s="212">
        <v>0</v>
      </c>
      <c r="I74" s="212">
        <v>0</v>
      </c>
      <c r="J74" s="212">
        <v>0</v>
      </c>
      <c r="K74" s="184">
        <f t="shared" si="4"/>
        <v>871</v>
      </c>
      <c r="L74" s="215">
        <v>729</v>
      </c>
      <c r="M74" s="215">
        <v>108</v>
      </c>
      <c r="N74" s="215">
        <v>34</v>
      </c>
      <c r="O74" s="215">
        <v>2</v>
      </c>
      <c r="P74" s="184">
        <f t="shared" si="5"/>
        <v>147</v>
      </c>
      <c r="Q74" s="215">
        <v>62</v>
      </c>
      <c r="R74" s="215">
        <v>85</v>
      </c>
    </row>
    <row r="75" spans="1:18" s="10" customFormat="1" ht="18" customHeight="1">
      <c r="A75" s="118">
        <v>39</v>
      </c>
      <c r="B75" s="121" t="s">
        <v>222</v>
      </c>
      <c r="C75" s="212">
        <v>0</v>
      </c>
      <c r="D75" s="212">
        <v>0</v>
      </c>
      <c r="E75" s="212">
        <v>0</v>
      </c>
      <c r="F75" s="212">
        <v>0</v>
      </c>
      <c r="G75" s="212">
        <v>0</v>
      </c>
      <c r="H75" s="212">
        <v>0</v>
      </c>
      <c r="I75" s="212">
        <v>0</v>
      </c>
      <c r="J75" s="212">
        <v>0</v>
      </c>
      <c r="K75" s="184">
        <f t="shared" si="4"/>
        <v>1996</v>
      </c>
      <c r="L75" s="215">
        <v>1900</v>
      </c>
      <c r="M75" s="215">
        <v>48</v>
      </c>
      <c r="N75" s="215">
        <v>48</v>
      </c>
      <c r="O75" s="347">
        <v>0</v>
      </c>
      <c r="P75" s="184">
        <f t="shared" si="5"/>
        <v>96</v>
      </c>
      <c r="Q75" s="215">
        <v>62</v>
      </c>
      <c r="R75" s="215">
        <v>34</v>
      </c>
    </row>
    <row r="76" spans="1:18" s="10" customFormat="1" ht="18" customHeight="1">
      <c r="A76" s="118">
        <v>40</v>
      </c>
      <c r="B76" s="121" t="s">
        <v>223</v>
      </c>
      <c r="C76" s="212">
        <v>0</v>
      </c>
      <c r="D76" s="212">
        <v>0</v>
      </c>
      <c r="E76" s="212">
        <v>0</v>
      </c>
      <c r="F76" s="212">
        <v>0</v>
      </c>
      <c r="G76" s="212">
        <v>0</v>
      </c>
      <c r="H76" s="212">
        <v>0</v>
      </c>
      <c r="I76" s="212">
        <v>0</v>
      </c>
      <c r="J76" s="212">
        <v>0</v>
      </c>
      <c r="K76" s="184">
        <f t="shared" si="4"/>
        <v>6346</v>
      </c>
      <c r="L76" s="215">
        <v>5584</v>
      </c>
      <c r="M76" s="215">
        <v>721</v>
      </c>
      <c r="N76" s="215">
        <v>41</v>
      </c>
      <c r="O76" s="215">
        <v>1</v>
      </c>
      <c r="P76" s="184">
        <f t="shared" si="5"/>
        <v>742</v>
      </c>
      <c r="Q76" s="215">
        <v>580</v>
      </c>
      <c r="R76" s="215">
        <v>162</v>
      </c>
    </row>
    <row r="77" spans="1:18" s="10" customFormat="1" ht="18" customHeight="1">
      <c r="A77" s="118">
        <v>41</v>
      </c>
      <c r="B77" s="121" t="s">
        <v>224</v>
      </c>
      <c r="C77" s="212">
        <v>0</v>
      </c>
      <c r="D77" s="212">
        <v>0</v>
      </c>
      <c r="E77" s="212">
        <v>0</v>
      </c>
      <c r="F77" s="212">
        <v>0</v>
      </c>
      <c r="G77" s="212">
        <v>0</v>
      </c>
      <c r="H77" s="212">
        <v>0</v>
      </c>
      <c r="I77" s="212">
        <v>0</v>
      </c>
      <c r="J77" s="212">
        <v>0</v>
      </c>
      <c r="K77" s="184">
        <f t="shared" si="4"/>
        <v>456</v>
      </c>
      <c r="L77" s="215">
        <v>394</v>
      </c>
      <c r="M77" s="215">
        <v>25</v>
      </c>
      <c r="N77" s="215">
        <v>37</v>
      </c>
      <c r="O77" s="215">
        <v>4</v>
      </c>
      <c r="P77" s="184">
        <f t="shared" si="5"/>
        <v>64</v>
      </c>
      <c r="Q77" s="215">
        <v>18</v>
      </c>
      <c r="R77" s="215">
        <v>46</v>
      </c>
    </row>
    <row r="78" spans="1:18" s="10" customFormat="1" ht="18" customHeight="1">
      <c r="A78" s="118">
        <v>42</v>
      </c>
      <c r="B78" s="121" t="s">
        <v>225</v>
      </c>
      <c r="C78" s="212">
        <v>0</v>
      </c>
      <c r="D78" s="212">
        <v>0</v>
      </c>
      <c r="E78" s="212">
        <v>0</v>
      </c>
      <c r="F78" s="212">
        <v>0</v>
      </c>
      <c r="G78" s="212">
        <v>0</v>
      </c>
      <c r="H78" s="212">
        <v>0</v>
      </c>
      <c r="I78" s="212">
        <v>0</v>
      </c>
      <c r="J78" s="212">
        <v>0</v>
      </c>
      <c r="K78" s="184">
        <f t="shared" si="4"/>
        <v>587</v>
      </c>
      <c r="L78" s="215">
        <v>494</v>
      </c>
      <c r="M78" s="215">
        <v>29</v>
      </c>
      <c r="N78" s="215">
        <v>64</v>
      </c>
      <c r="O78" s="215">
        <v>4</v>
      </c>
      <c r="P78" s="184">
        <f t="shared" si="5"/>
        <v>142</v>
      </c>
      <c r="Q78" s="215">
        <v>24</v>
      </c>
      <c r="R78" s="215">
        <v>118</v>
      </c>
    </row>
    <row r="79" spans="1:18" s="10" customFormat="1" ht="18" customHeight="1">
      <c r="A79" s="118">
        <v>43</v>
      </c>
      <c r="B79" s="121" t="s">
        <v>226</v>
      </c>
      <c r="C79" s="212">
        <v>0</v>
      </c>
      <c r="D79" s="212">
        <v>0</v>
      </c>
      <c r="E79" s="212">
        <v>0</v>
      </c>
      <c r="F79" s="212">
        <v>0</v>
      </c>
      <c r="G79" s="212">
        <v>0</v>
      </c>
      <c r="H79" s="212">
        <v>0</v>
      </c>
      <c r="I79" s="212">
        <v>0</v>
      </c>
      <c r="J79" s="212">
        <v>0</v>
      </c>
      <c r="K79" s="184">
        <f t="shared" si="4"/>
        <v>1479</v>
      </c>
      <c r="L79" s="215">
        <v>1226</v>
      </c>
      <c r="M79" s="215">
        <v>179</v>
      </c>
      <c r="N79" s="215">
        <v>74</v>
      </c>
      <c r="O79" s="215">
        <v>1</v>
      </c>
      <c r="P79" s="184">
        <f t="shared" si="5"/>
        <v>283</v>
      </c>
      <c r="Q79" s="215">
        <v>218</v>
      </c>
      <c r="R79" s="215">
        <v>65</v>
      </c>
    </row>
    <row r="80" spans="1:18" s="10" customFormat="1" ht="18" customHeight="1">
      <c r="A80" s="118">
        <v>44</v>
      </c>
      <c r="B80" s="121" t="s">
        <v>227</v>
      </c>
      <c r="C80" s="212">
        <v>0</v>
      </c>
      <c r="D80" s="212">
        <v>0</v>
      </c>
      <c r="E80" s="212">
        <v>0</v>
      </c>
      <c r="F80" s="212">
        <v>0</v>
      </c>
      <c r="G80" s="212">
        <v>0</v>
      </c>
      <c r="H80" s="212">
        <v>0</v>
      </c>
      <c r="I80" s="212">
        <v>0</v>
      </c>
      <c r="J80" s="212">
        <v>0</v>
      </c>
      <c r="K80" s="184">
        <f t="shared" si="4"/>
        <v>348</v>
      </c>
      <c r="L80" s="215">
        <v>63</v>
      </c>
      <c r="M80" s="215">
        <v>252</v>
      </c>
      <c r="N80" s="215">
        <v>33</v>
      </c>
      <c r="O80" s="347">
        <v>0</v>
      </c>
      <c r="P80" s="184">
        <f t="shared" si="5"/>
        <v>78</v>
      </c>
      <c r="Q80" s="215">
        <v>16</v>
      </c>
      <c r="R80" s="215">
        <v>62</v>
      </c>
    </row>
    <row r="81" spans="1:18" s="96" customFormat="1" ht="18" customHeight="1">
      <c r="A81" s="118">
        <v>45</v>
      </c>
      <c r="B81" s="122" t="s">
        <v>233</v>
      </c>
      <c r="C81" s="212">
        <v>0</v>
      </c>
      <c r="D81" s="212">
        <v>0</v>
      </c>
      <c r="E81" s="212">
        <v>0</v>
      </c>
      <c r="F81" s="212">
        <v>0</v>
      </c>
      <c r="G81" s="212">
        <v>0</v>
      </c>
      <c r="H81" s="212">
        <v>0</v>
      </c>
      <c r="I81" s="212">
        <v>0</v>
      </c>
      <c r="J81" s="212">
        <v>0</v>
      </c>
      <c r="K81" s="184">
        <f t="shared" si="4"/>
        <v>1475</v>
      </c>
      <c r="L81" s="187">
        <v>1327</v>
      </c>
      <c r="M81" s="187">
        <v>117</v>
      </c>
      <c r="N81" s="187">
        <v>31</v>
      </c>
      <c r="O81" s="187">
        <v>1</v>
      </c>
      <c r="P81" s="184">
        <f t="shared" si="5"/>
        <v>97</v>
      </c>
      <c r="Q81" s="187">
        <v>39</v>
      </c>
      <c r="R81" s="187">
        <v>58</v>
      </c>
    </row>
    <row r="82" spans="1:18" s="96" customFormat="1" ht="18" customHeight="1">
      <c r="A82" s="118">
        <v>46</v>
      </c>
      <c r="B82" s="122" t="s">
        <v>234</v>
      </c>
      <c r="C82" s="212">
        <v>0</v>
      </c>
      <c r="D82" s="212">
        <v>0</v>
      </c>
      <c r="E82" s="212">
        <v>0</v>
      </c>
      <c r="F82" s="212">
        <v>0</v>
      </c>
      <c r="G82" s="212">
        <v>0</v>
      </c>
      <c r="H82" s="212">
        <v>0</v>
      </c>
      <c r="I82" s="212">
        <v>0</v>
      </c>
      <c r="J82" s="212">
        <v>0</v>
      </c>
      <c r="K82" s="184">
        <f t="shared" si="4"/>
        <v>709</v>
      </c>
      <c r="L82" s="187">
        <v>605</v>
      </c>
      <c r="M82" s="187">
        <v>68</v>
      </c>
      <c r="N82" s="187">
        <v>36</v>
      </c>
      <c r="O82" s="187"/>
      <c r="P82" s="184">
        <f t="shared" si="5"/>
        <v>84</v>
      </c>
      <c r="Q82" s="187">
        <v>26</v>
      </c>
      <c r="R82" s="187">
        <v>58</v>
      </c>
    </row>
    <row r="83" spans="1:18" s="96" customFormat="1" ht="18" customHeight="1">
      <c r="A83" s="118">
        <v>47</v>
      </c>
      <c r="B83" s="122" t="s">
        <v>235</v>
      </c>
      <c r="C83" s="212">
        <v>0</v>
      </c>
      <c r="D83" s="212">
        <v>0</v>
      </c>
      <c r="E83" s="212">
        <v>0</v>
      </c>
      <c r="F83" s="212">
        <v>0</v>
      </c>
      <c r="G83" s="212">
        <v>0</v>
      </c>
      <c r="H83" s="212">
        <v>0</v>
      </c>
      <c r="I83" s="212">
        <v>0</v>
      </c>
      <c r="J83" s="212">
        <v>0</v>
      </c>
      <c r="K83" s="184">
        <f t="shared" si="4"/>
        <v>942</v>
      </c>
      <c r="L83" s="187">
        <v>754</v>
      </c>
      <c r="M83" s="187">
        <v>122</v>
      </c>
      <c r="N83" s="187">
        <v>66</v>
      </c>
      <c r="O83" s="187">
        <v>1</v>
      </c>
      <c r="P83" s="184">
        <f t="shared" si="5"/>
        <v>101</v>
      </c>
      <c r="Q83" s="187">
        <v>17</v>
      </c>
      <c r="R83" s="187">
        <v>84</v>
      </c>
    </row>
    <row r="84" spans="1:18" s="96" customFormat="1" ht="18" customHeight="1">
      <c r="A84" s="118">
        <v>48</v>
      </c>
      <c r="B84" s="122" t="s">
        <v>236</v>
      </c>
      <c r="C84" s="212">
        <v>0</v>
      </c>
      <c r="D84" s="212">
        <v>0</v>
      </c>
      <c r="E84" s="212">
        <v>0</v>
      </c>
      <c r="F84" s="212">
        <v>0</v>
      </c>
      <c r="G84" s="212">
        <v>0</v>
      </c>
      <c r="H84" s="212">
        <v>0</v>
      </c>
      <c r="I84" s="212">
        <v>0</v>
      </c>
      <c r="J84" s="212">
        <v>0</v>
      </c>
      <c r="K84" s="184">
        <f t="shared" si="4"/>
        <v>1702</v>
      </c>
      <c r="L84" s="187">
        <v>1456</v>
      </c>
      <c r="M84" s="187">
        <v>186</v>
      </c>
      <c r="N84" s="187">
        <v>60</v>
      </c>
      <c r="O84" s="347">
        <v>0</v>
      </c>
      <c r="P84" s="184">
        <f t="shared" si="5"/>
        <v>207</v>
      </c>
      <c r="Q84" s="187">
        <v>115</v>
      </c>
      <c r="R84" s="187">
        <v>92</v>
      </c>
    </row>
    <row r="85" spans="1:18" s="96" customFormat="1" ht="18" customHeight="1">
      <c r="A85" s="118">
        <v>49</v>
      </c>
      <c r="B85" s="122" t="s">
        <v>237</v>
      </c>
      <c r="C85" s="212">
        <v>0</v>
      </c>
      <c r="D85" s="212">
        <v>0</v>
      </c>
      <c r="E85" s="212">
        <v>0</v>
      </c>
      <c r="F85" s="212">
        <v>0</v>
      </c>
      <c r="G85" s="212">
        <v>0</v>
      </c>
      <c r="H85" s="212">
        <v>0</v>
      </c>
      <c r="I85" s="212">
        <v>0</v>
      </c>
      <c r="J85" s="212">
        <v>0</v>
      </c>
      <c r="K85" s="184">
        <f t="shared" si="4"/>
        <v>1523</v>
      </c>
      <c r="L85" s="187">
        <v>1337</v>
      </c>
      <c r="M85" s="187">
        <v>132</v>
      </c>
      <c r="N85" s="187">
        <v>54</v>
      </c>
      <c r="O85" s="187">
        <v>3</v>
      </c>
      <c r="P85" s="184">
        <f t="shared" si="5"/>
        <v>108</v>
      </c>
      <c r="Q85" s="187">
        <v>67</v>
      </c>
      <c r="R85" s="187">
        <v>41</v>
      </c>
    </row>
    <row r="86" spans="1:18" s="96" customFormat="1" ht="18" customHeight="1">
      <c r="A86" s="118">
        <v>50</v>
      </c>
      <c r="B86" s="122" t="s">
        <v>238</v>
      </c>
      <c r="C86" s="212">
        <v>0</v>
      </c>
      <c r="D86" s="212">
        <v>0</v>
      </c>
      <c r="E86" s="212">
        <v>0</v>
      </c>
      <c r="F86" s="212">
        <v>0</v>
      </c>
      <c r="G86" s="212">
        <v>0</v>
      </c>
      <c r="H86" s="212">
        <v>0</v>
      </c>
      <c r="I86" s="212">
        <v>0</v>
      </c>
      <c r="J86" s="212">
        <v>0</v>
      </c>
      <c r="K86" s="184">
        <f t="shared" si="4"/>
        <v>722</v>
      </c>
      <c r="L86" s="187">
        <v>560</v>
      </c>
      <c r="M86" s="187">
        <v>92</v>
      </c>
      <c r="N86" s="187">
        <v>70</v>
      </c>
      <c r="O86" s="187">
        <v>4</v>
      </c>
      <c r="P86" s="184">
        <f t="shared" si="5"/>
        <v>112</v>
      </c>
      <c r="Q86" s="187">
        <v>18</v>
      </c>
      <c r="R86" s="187">
        <v>94</v>
      </c>
    </row>
    <row r="87" spans="1:18" s="96" customFormat="1" ht="18" customHeight="1">
      <c r="A87" s="118">
        <v>51</v>
      </c>
      <c r="B87" s="123" t="s">
        <v>239</v>
      </c>
      <c r="C87" s="212">
        <v>0</v>
      </c>
      <c r="D87" s="212">
        <v>0</v>
      </c>
      <c r="E87" s="212">
        <v>0</v>
      </c>
      <c r="F87" s="212">
        <v>0</v>
      </c>
      <c r="G87" s="212">
        <v>0</v>
      </c>
      <c r="H87" s="212">
        <v>0</v>
      </c>
      <c r="I87" s="212">
        <v>0</v>
      </c>
      <c r="J87" s="212">
        <v>0</v>
      </c>
      <c r="K87" s="184">
        <f t="shared" si="4"/>
        <v>482</v>
      </c>
      <c r="L87" s="187">
        <v>373</v>
      </c>
      <c r="M87" s="187">
        <v>61</v>
      </c>
      <c r="N87" s="187">
        <v>48</v>
      </c>
      <c r="O87" s="347">
        <v>0</v>
      </c>
      <c r="P87" s="184">
        <f t="shared" si="5"/>
        <v>80</v>
      </c>
      <c r="Q87" s="187">
        <v>32</v>
      </c>
      <c r="R87" s="187">
        <v>48</v>
      </c>
    </row>
    <row r="88" spans="1:18" s="96" customFormat="1" ht="18" customHeight="1">
      <c r="A88" s="118">
        <v>52</v>
      </c>
      <c r="B88" s="123" t="s">
        <v>240</v>
      </c>
      <c r="C88" s="212">
        <v>0</v>
      </c>
      <c r="D88" s="212">
        <v>0</v>
      </c>
      <c r="E88" s="212">
        <v>0</v>
      </c>
      <c r="F88" s="212">
        <v>0</v>
      </c>
      <c r="G88" s="212">
        <v>0</v>
      </c>
      <c r="H88" s="212">
        <v>0</v>
      </c>
      <c r="I88" s="212">
        <v>0</v>
      </c>
      <c r="J88" s="212">
        <v>0</v>
      </c>
      <c r="K88" s="184">
        <f t="shared" si="4"/>
        <v>872</v>
      </c>
      <c r="L88" s="187">
        <v>654</v>
      </c>
      <c r="M88" s="187">
        <v>109</v>
      </c>
      <c r="N88" s="187">
        <v>109</v>
      </c>
      <c r="O88" s="187">
        <v>6</v>
      </c>
      <c r="P88" s="184">
        <f t="shared" si="5"/>
        <v>144</v>
      </c>
      <c r="Q88" s="187">
        <v>35</v>
      </c>
      <c r="R88" s="187">
        <v>109</v>
      </c>
    </row>
    <row r="89" spans="1:18" s="96" customFormat="1" ht="18" customHeight="1">
      <c r="A89" s="118">
        <v>53</v>
      </c>
      <c r="B89" s="123" t="s">
        <v>241</v>
      </c>
      <c r="C89" s="212">
        <v>0</v>
      </c>
      <c r="D89" s="212">
        <v>0</v>
      </c>
      <c r="E89" s="212">
        <v>0</v>
      </c>
      <c r="F89" s="212">
        <v>0</v>
      </c>
      <c r="G89" s="212">
        <v>0</v>
      </c>
      <c r="H89" s="212">
        <v>0</v>
      </c>
      <c r="I89" s="212">
        <v>0</v>
      </c>
      <c r="J89" s="212">
        <v>0</v>
      </c>
      <c r="K89" s="184">
        <f t="shared" si="4"/>
        <v>1250</v>
      </c>
      <c r="L89" s="187">
        <v>1199</v>
      </c>
      <c r="M89" s="187">
        <v>17</v>
      </c>
      <c r="N89" s="187">
        <v>34</v>
      </c>
      <c r="O89" s="187"/>
      <c r="P89" s="184">
        <f t="shared" si="5"/>
        <v>23</v>
      </c>
      <c r="Q89" s="187">
        <v>1</v>
      </c>
      <c r="R89" s="187">
        <v>22</v>
      </c>
    </row>
    <row r="90" spans="1:18" s="96" customFormat="1" ht="18" customHeight="1">
      <c r="A90" s="118">
        <v>54</v>
      </c>
      <c r="B90" s="123" t="s">
        <v>242</v>
      </c>
      <c r="C90" s="212">
        <v>0</v>
      </c>
      <c r="D90" s="212">
        <v>0</v>
      </c>
      <c r="E90" s="212">
        <v>0</v>
      </c>
      <c r="F90" s="212">
        <v>0</v>
      </c>
      <c r="G90" s="212">
        <v>0</v>
      </c>
      <c r="H90" s="212">
        <v>0</v>
      </c>
      <c r="I90" s="212">
        <v>0</v>
      </c>
      <c r="J90" s="212">
        <v>0</v>
      </c>
      <c r="K90" s="184">
        <f t="shared" si="4"/>
        <v>522</v>
      </c>
      <c r="L90" s="187">
        <v>369</v>
      </c>
      <c r="M90" s="187">
        <v>112</v>
      </c>
      <c r="N90" s="187">
        <v>41</v>
      </c>
      <c r="O90" s="187">
        <v>6</v>
      </c>
      <c r="P90" s="184">
        <f t="shared" si="5"/>
        <v>120</v>
      </c>
      <c r="Q90" s="187">
        <v>65</v>
      </c>
      <c r="R90" s="187">
        <v>55</v>
      </c>
    </row>
    <row r="91" spans="1:18" s="96" customFormat="1" ht="18" customHeight="1">
      <c r="A91" s="118">
        <v>55</v>
      </c>
      <c r="B91" s="123" t="s">
        <v>243</v>
      </c>
      <c r="C91" s="212">
        <v>0</v>
      </c>
      <c r="D91" s="212">
        <v>0</v>
      </c>
      <c r="E91" s="212">
        <v>0</v>
      </c>
      <c r="F91" s="212">
        <v>0</v>
      </c>
      <c r="G91" s="212">
        <v>0</v>
      </c>
      <c r="H91" s="212">
        <v>0</v>
      </c>
      <c r="I91" s="212">
        <v>0</v>
      </c>
      <c r="J91" s="212">
        <v>0</v>
      </c>
      <c r="K91" s="184">
        <f t="shared" si="4"/>
        <v>3965</v>
      </c>
      <c r="L91" s="187">
        <v>3434</v>
      </c>
      <c r="M91" s="187">
        <v>437</v>
      </c>
      <c r="N91" s="187">
        <v>94</v>
      </c>
      <c r="O91" s="347">
        <v>0</v>
      </c>
      <c r="P91" s="184">
        <f t="shared" si="5"/>
        <v>372</v>
      </c>
      <c r="Q91" s="187">
        <v>278</v>
      </c>
      <c r="R91" s="187">
        <v>94</v>
      </c>
    </row>
    <row r="92" spans="1:18" s="96" customFormat="1" ht="18" customHeight="1">
      <c r="A92" s="118">
        <v>56</v>
      </c>
      <c r="B92" s="123" t="s">
        <v>244</v>
      </c>
      <c r="C92" s="212">
        <v>0</v>
      </c>
      <c r="D92" s="212">
        <v>0</v>
      </c>
      <c r="E92" s="212">
        <v>0</v>
      </c>
      <c r="F92" s="212">
        <v>0</v>
      </c>
      <c r="G92" s="212">
        <v>0</v>
      </c>
      <c r="H92" s="212">
        <v>0</v>
      </c>
      <c r="I92" s="212">
        <v>0</v>
      </c>
      <c r="J92" s="212">
        <v>0</v>
      </c>
      <c r="K92" s="184">
        <f t="shared" si="4"/>
        <v>1176</v>
      </c>
      <c r="L92" s="187">
        <v>965</v>
      </c>
      <c r="M92" s="187">
        <v>158</v>
      </c>
      <c r="N92" s="187">
        <v>53</v>
      </c>
      <c r="O92" s="187">
        <v>4</v>
      </c>
      <c r="P92" s="184">
        <f t="shared" si="5"/>
        <v>138</v>
      </c>
      <c r="Q92" s="187">
        <v>47</v>
      </c>
      <c r="R92" s="187">
        <v>91</v>
      </c>
    </row>
    <row r="93" spans="1:18" s="96" customFormat="1" ht="18" customHeight="1">
      <c r="A93" s="118">
        <v>57</v>
      </c>
      <c r="B93" s="123" t="s">
        <v>245</v>
      </c>
      <c r="C93" s="212">
        <v>0</v>
      </c>
      <c r="D93" s="212">
        <v>0</v>
      </c>
      <c r="E93" s="212">
        <v>0</v>
      </c>
      <c r="F93" s="212">
        <v>0</v>
      </c>
      <c r="G93" s="212">
        <v>0</v>
      </c>
      <c r="H93" s="212">
        <v>0</v>
      </c>
      <c r="I93" s="212">
        <v>0</v>
      </c>
      <c r="J93" s="212">
        <v>0</v>
      </c>
      <c r="K93" s="184">
        <f t="shared" si="4"/>
        <v>1390</v>
      </c>
      <c r="L93" s="187">
        <v>1217</v>
      </c>
      <c r="M93" s="187">
        <v>103</v>
      </c>
      <c r="N93" s="187">
        <v>70</v>
      </c>
      <c r="O93" s="187">
        <v>1</v>
      </c>
      <c r="P93" s="184">
        <f t="shared" si="5"/>
        <v>99</v>
      </c>
      <c r="Q93" s="187">
        <v>8</v>
      </c>
      <c r="R93" s="187">
        <v>91</v>
      </c>
    </row>
    <row r="94" spans="1:18" s="96" customFormat="1" ht="18" customHeight="1">
      <c r="A94" s="118">
        <v>58</v>
      </c>
      <c r="B94" s="123" t="s">
        <v>246</v>
      </c>
      <c r="C94" s="212">
        <v>0</v>
      </c>
      <c r="D94" s="212">
        <v>0</v>
      </c>
      <c r="E94" s="212">
        <v>0</v>
      </c>
      <c r="F94" s="212">
        <v>0</v>
      </c>
      <c r="G94" s="212">
        <v>0</v>
      </c>
      <c r="H94" s="212">
        <v>0</v>
      </c>
      <c r="I94" s="212">
        <v>0</v>
      </c>
      <c r="J94" s="212">
        <v>0</v>
      </c>
      <c r="K94" s="184">
        <f t="shared" si="4"/>
        <v>515</v>
      </c>
      <c r="L94" s="187">
        <v>384</v>
      </c>
      <c r="M94" s="187">
        <v>106</v>
      </c>
      <c r="N94" s="187">
        <v>25</v>
      </c>
      <c r="O94" s="187">
        <v>2</v>
      </c>
      <c r="P94" s="184">
        <f t="shared" si="5"/>
        <v>151</v>
      </c>
      <c r="Q94" s="187">
        <v>81</v>
      </c>
      <c r="R94" s="187">
        <v>70</v>
      </c>
    </row>
    <row r="95" spans="1:18" s="96" customFormat="1" ht="18" customHeight="1">
      <c r="A95" s="118">
        <v>59</v>
      </c>
      <c r="B95" s="123" t="s">
        <v>247</v>
      </c>
      <c r="C95" s="212">
        <v>0</v>
      </c>
      <c r="D95" s="212">
        <v>0</v>
      </c>
      <c r="E95" s="212">
        <v>0</v>
      </c>
      <c r="F95" s="212">
        <v>0</v>
      </c>
      <c r="G95" s="212">
        <v>0</v>
      </c>
      <c r="H95" s="212">
        <v>0</v>
      </c>
      <c r="I95" s="212">
        <v>0</v>
      </c>
      <c r="J95" s="212">
        <v>0</v>
      </c>
      <c r="K95" s="184">
        <f t="shared" si="4"/>
        <v>303</v>
      </c>
      <c r="L95" s="187">
        <v>299</v>
      </c>
      <c r="M95" s="187">
        <v>2</v>
      </c>
      <c r="N95" s="187">
        <v>2</v>
      </c>
      <c r="O95" s="187">
        <v>2</v>
      </c>
      <c r="P95" s="184">
        <f t="shared" si="5"/>
        <v>67</v>
      </c>
      <c r="Q95" s="187">
        <v>6</v>
      </c>
      <c r="R95" s="187">
        <v>61</v>
      </c>
    </row>
    <row r="96" spans="1:18" s="96" customFormat="1" ht="18" customHeight="1">
      <c r="A96" s="118">
        <v>60</v>
      </c>
      <c r="B96" s="123" t="s">
        <v>248</v>
      </c>
      <c r="C96" s="212">
        <v>0</v>
      </c>
      <c r="D96" s="212">
        <v>0</v>
      </c>
      <c r="E96" s="212">
        <v>0</v>
      </c>
      <c r="F96" s="212">
        <v>0</v>
      </c>
      <c r="G96" s="212">
        <v>0</v>
      </c>
      <c r="H96" s="212">
        <v>0</v>
      </c>
      <c r="I96" s="212">
        <v>0</v>
      </c>
      <c r="J96" s="212">
        <v>0</v>
      </c>
      <c r="K96" s="184">
        <f t="shared" si="4"/>
        <v>577</v>
      </c>
      <c r="L96" s="187">
        <v>492</v>
      </c>
      <c r="M96" s="187">
        <v>41</v>
      </c>
      <c r="N96" s="187">
        <v>44</v>
      </c>
      <c r="O96" s="187">
        <v>3</v>
      </c>
      <c r="P96" s="184">
        <f t="shared" si="5"/>
        <v>73</v>
      </c>
      <c r="Q96" s="187">
        <v>15</v>
      </c>
      <c r="R96" s="187">
        <v>58</v>
      </c>
    </row>
    <row r="97" spans="1:18" s="96" customFormat="1" ht="18" customHeight="1">
      <c r="A97" s="118">
        <v>61</v>
      </c>
      <c r="B97" s="123" t="s">
        <v>249</v>
      </c>
      <c r="C97" s="212">
        <v>0</v>
      </c>
      <c r="D97" s="212">
        <v>0</v>
      </c>
      <c r="E97" s="212">
        <v>0</v>
      </c>
      <c r="F97" s="212">
        <v>0</v>
      </c>
      <c r="G97" s="212">
        <v>0</v>
      </c>
      <c r="H97" s="212">
        <v>0</v>
      </c>
      <c r="I97" s="212">
        <v>0</v>
      </c>
      <c r="J97" s="212">
        <v>0</v>
      </c>
      <c r="K97" s="184">
        <f t="shared" si="4"/>
        <v>454</v>
      </c>
      <c r="L97" s="187">
        <v>409</v>
      </c>
      <c r="M97" s="187">
        <v>45</v>
      </c>
      <c r="N97" s="347">
        <v>0</v>
      </c>
      <c r="O97" s="347">
        <v>0</v>
      </c>
      <c r="P97" s="184">
        <f t="shared" si="5"/>
        <v>65</v>
      </c>
      <c r="Q97" s="187">
        <v>17</v>
      </c>
      <c r="R97" s="187">
        <v>48</v>
      </c>
    </row>
    <row r="98" spans="1:18" s="96" customFormat="1" ht="18" customHeight="1">
      <c r="A98" s="118">
        <v>62</v>
      </c>
      <c r="B98" s="123" t="s">
        <v>250</v>
      </c>
      <c r="C98" s="212">
        <v>0</v>
      </c>
      <c r="D98" s="212">
        <v>0</v>
      </c>
      <c r="E98" s="212">
        <v>0</v>
      </c>
      <c r="F98" s="212">
        <v>0</v>
      </c>
      <c r="G98" s="212">
        <v>0</v>
      </c>
      <c r="H98" s="212">
        <v>0</v>
      </c>
      <c r="I98" s="212">
        <v>0</v>
      </c>
      <c r="J98" s="212">
        <v>0</v>
      </c>
      <c r="K98" s="184">
        <f t="shared" si="4"/>
        <v>353</v>
      </c>
      <c r="L98" s="187">
        <v>290</v>
      </c>
      <c r="M98" s="187">
        <v>19</v>
      </c>
      <c r="N98" s="187">
        <v>44</v>
      </c>
      <c r="O98" s="187"/>
      <c r="P98" s="184">
        <f t="shared" si="5"/>
        <v>64</v>
      </c>
      <c r="Q98" s="187">
        <v>11</v>
      </c>
      <c r="R98" s="187">
        <v>53</v>
      </c>
    </row>
    <row r="99" spans="1:18" s="96" customFormat="1" ht="18" customHeight="1">
      <c r="A99" s="118">
        <v>63</v>
      </c>
      <c r="B99" s="123" t="s">
        <v>251</v>
      </c>
      <c r="C99" s="212">
        <v>0</v>
      </c>
      <c r="D99" s="212">
        <v>0</v>
      </c>
      <c r="E99" s="212">
        <v>0</v>
      </c>
      <c r="F99" s="212">
        <v>0</v>
      </c>
      <c r="G99" s="212">
        <v>0</v>
      </c>
      <c r="H99" s="212">
        <v>0</v>
      </c>
      <c r="I99" s="212">
        <v>0</v>
      </c>
      <c r="J99" s="212">
        <v>0</v>
      </c>
      <c r="K99" s="184">
        <f t="shared" si="4"/>
        <v>720</v>
      </c>
      <c r="L99" s="187">
        <v>597</v>
      </c>
      <c r="M99" s="187">
        <v>68</v>
      </c>
      <c r="N99" s="187">
        <v>55</v>
      </c>
      <c r="O99" s="187">
        <v>2</v>
      </c>
      <c r="P99" s="184">
        <f t="shared" si="5"/>
        <v>66</v>
      </c>
      <c r="Q99" s="187">
        <v>4</v>
      </c>
      <c r="R99" s="187">
        <v>62</v>
      </c>
    </row>
    <row r="100" spans="1:18" s="10" customFormat="1" ht="12.75">
      <c r="A100"/>
      <c r="B100" s="80"/>
      <c r="C100" s="53"/>
      <c r="D100"/>
      <c r="E100"/>
      <c r="F100"/>
      <c r="G100"/>
      <c r="H100"/>
      <c r="I100"/>
      <c r="J100"/>
      <c r="K100" s="90"/>
      <c r="L100"/>
      <c r="M100"/>
      <c r="N100"/>
      <c r="O100"/>
      <c r="P100"/>
      <c r="Q100" s="20"/>
      <c r="R100" s="20"/>
    </row>
    <row r="101" spans="1:19" s="153" customFormat="1" ht="12.75">
      <c r="A101" s="43"/>
      <c r="B101" s="43" t="s">
        <v>254</v>
      </c>
      <c r="C101" s="32" t="s">
        <v>311</v>
      </c>
      <c r="D101" s="43"/>
      <c r="E101" s="43"/>
      <c r="F101" s="43"/>
      <c r="G101" s="43"/>
      <c r="H101" s="43"/>
      <c r="I101" s="43"/>
      <c r="J101" s="43"/>
      <c r="K101" s="151"/>
      <c r="L101" s="43"/>
      <c r="M101" s="43"/>
      <c r="N101" s="43"/>
      <c r="O101" s="43"/>
      <c r="P101" s="43"/>
      <c r="Q101" s="43"/>
      <c r="R101" s="43"/>
      <c r="S101" s="152"/>
    </row>
    <row r="102" spans="1:19" s="153" customFormat="1" ht="12.75">
      <c r="A102" s="43"/>
      <c r="B102" s="43" t="s">
        <v>313</v>
      </c>
      <c r="C102" s="32"/>
      <c r="D102" s="43"/>
      <c r="E102" s="43"/>
      <c r="F102" s="43"/>
      <c r="G102" s="43"/>
      <c r="H102" s="43"/>
      <c r="I102" s="43"/>
      <c r="J102" s="43"/>
      <c r="K102" s="151"/>
      <c r="L102" s="43"/>
      <c r="M102" s="43"/>
      <c r="N102" s="43"/>
      <c r="O102" s="43"/>
      <c r="P102" s="43"/>
      <c r="Q102" s="43"/>
      <c r="R102" s="43"/>
      <c r="S102" s="152"/>
    </row>
    <row r="103" spans="1:18" s="150" customFormat="1" ht="12.75">
      <c r="A103" s="43"/>
      <c r="B103" s="43" t="s">
        <v>290</v>
      </c>
      <c r="C103" s="43" t="s">
        <v>291</v>
      </c>
      <c r="E103" s="43"/>
      <c r="F103" s="43"/>
      <c r="G103" s="43"/>
      <c r="H103" s="43"/>
      <c r="I103" s="43"/>
      <c r="J103" s="43"/>
      <c r="K103" s="151"/>
      <c r="L103" s="43"/>
      <c r="M103" s="43"/>
      <c r="N103" s="43"/>
      <c r="O103" s="43"/>
      <c r="P103" s="43"/>
      <c r="Q103" s="43"/>
      <c r="R103" s="43"/>
    </row>
    <row r="104" spans="1:17" s="150" customFormat="1" ht="12.75">
      <c r="A104" s="43"/>
      <c r="B104" s="156"/>
      <c r="C104" s="156" t="s">
        <v>281</v>
      </c>
      <c r="D104" s="157"/>
      <c r="E104" s="156"/>
      <c r="F104" s="156"/>
      <c r="G104" s="156"/>
      <c r="H104" s="156"/>
      <c r="I104" s="156"/>
      <c r="J104" s="156"/>
      <c r="K104" s="151"/>
      <c r="L104" s="43"/>
      <c r="M104" s="43"/>
      <c r="N104" s="43"/>
      <c r="O104" s="43"/>
      <c r="P104" s="43"/>
      <c r="Q104" s="43"/>
    </row>
    <row r="105" spans="1:17" s="150" customFormat="1" ht="12.75">
      <c r="A105" s="43"/>
      <c r="B105" s="227"/>
      <c r="C105" s="43" t="s">
        <v>258</v>
      </c>
      <c r="E105" s="43"/>
      <c r="F105" s="43"/>
      <c r="G105" s="43"/>
      <c r="H105" s="43"/>
      <c r="I105" s="43"/>
      <c r="J105" s="43"/>
      <c r="K105" s="151"/>
      <c r="L105" s="43"/>
      <c r="M105" s="43"/>
      <c r="N105" s="43"/>
      <c r="O105" s="43"/>
      <c r="P105" s="43"/>
      <c r="Q105" s="43"/>
    </row>
    <row r="106" spans="1:17" s="150" customFormat="1" ht="12.75">
      <c r="A106" s="43"/>
      <c r="B106" s="251"/>
      <c r="C106" s="43" t="s">
        <v>285</v>
      </c>
      <c r="D106" s="43"/>
      <c r="E106" s="43"/>
      <c r="F106" s="43"/>
      <c r="G106" s="43"/>
      <c r="H106" s="43"/>
      <c r="I106" s="43"/>
      <c r="J106" s="43"/>
      <c r="K106" s="43"/>
      <c r="L106" s="43"/>
      <c r="M106" s="43"/>
      <c r="N106" s="43"/>
      <c r="O106" s="43"/>
      <c r="P106" s="43"/>
      <c r="Q106" s="43"/>
    </row>
    <row r="107" spans="1:17" s="150" customFormat="1" ht="12.75">
      <c r="A107" s="43"/>
      <c r="B107" s="228"/>
      <c r="C107" s="43" t="s">
        <v>286</v>
      </c>
      <c r="D107" s="43"/>
      <c r="E107" s="43"/>
      <c r="F107" s="43"/>
      <c r="G107" s="43"/>
      <c r="H107" s="43"/>
      <c r="I107" s="43"/>
      <c r="J107" s="43"/>
      <c r="K107" s="43"/>
      <c r="L107" s="43"/>
      <c r="M107" s="43"/>
      <c r="N107" s="43"/>
      <c r="O107" s="43"/>
      <c r="P107" s="43"/>
      <c r="Q107" s="43"/>
    </row>
    <row r="108" spans="2:17" s="5" customFormat="1" ht="12.75">
      <c r="B108" s="252"/>
      <c r="C108" s="43" t="s">
        <v>288</v>
      </c>
      <c r="L108" s="16"/>
      <c r="Q108"/>
    </row>
    <row r="109" spans="1:18" s="10" customFormat="1" ht="12.75">
      <c r="A109"/>
      <c r="B109" s="80"/>
      <c r="C109" s="53"/>
      <c r="D109"/>
      <c r="E109"/>
      <c r="F109"/>
      <c r="G109"/>
      <c r="H109"/>
      <c r="I109"/>
      <c r="J109"/>
      <c r="K109" s="90"/>
      <c r="L109"/>
      <c r="M109"/>
      <c r="N109"/>
      <c r="O109"/>
      <c r="P109"/>
      <c r="Q109"/>
      <c r="R109"/>
    </row>
    <row r="110" spans="1:18" s="10" customFormat="1" ht="12.75">
      <c r="A110"/>
      <c r="B110" s="80" t="s">
        <v>314</v>
      </c>
      <c r="C110" s="53"/>
      <c r="D110"/>
      <c r="E110"/>
      <c r="F110"/>
      <c r="G110"/>
      <c r="H110"/>
      <c r="I110"/>
      <c r="J110"/>
      <c r="K110" s="90"/>
      <c r="L110"/>
      <c r="M110"/>
      <c r="N110"/>
      <c r="O110"/>
      <c r="P110"/>
      <c r="Q110"/>
      <c r="R110"/>
    </row>
    <row r="111" spans="1:18" s="10" customFormat="1" ht="12.75">
      <c r="A111"/>
      <c r="B111" s="80"/>
      <c r="C111" s="53"/>
      <c r="D111"/>
      <c r="E111"/>
      <c r="F111"/>
      <c r="G111"/>
      <c r="H111"/>
      <c r="I111"/>
      <c r="J111"/>
      <c r="K111" s="90"/>
      <c r="L111"/>
      <c r="M111"/>
      <c r="N111"/>
      <c r="O111"/>
      <c r="P111"/>
      <c r="Q111"/>
      <c r="R111"/>
    </row>
    <row r="112" spans="1:18" s="10" customFormat="1" ht="12.75">
      <c r="A112"/>
      <c r="B112" s="80"/>
      <c r="C112" s="53"/>
      <c r="D112"/>
      <c r="E112"/>
      <c r="F112"/>
      <c r="G112"/>
      <c r="H112"/>
      <c r="I112"/>
      <c r="J112"/>
      <c r="K112" s="90"/>
      <c r="L112"/>
      <c r="M112"/>
      <c r="N112"/>
      <c r="O112"/>
      <c r="P112"/>
      <c r="Q112"/>
      <c r="R112"/>
    </row>
    <row r="113" spans="1:18" s="10" customFormat="1" ht="12.75">
      <c r="A113"/>
      <c r="B113" s="80"/>
      <c r="C113" s="53"/>
      <c r="D113"/>
      <c r="E113"/>
      <c r="F113"/>
      <c r="G113"/>
      <c r="H113"/>
      <c r="I113"/>
      <c r="J113"/>
      <c r="K113" s="90"/>
      <c r="L113"/>
      <c r="M113"/>
      <c r="N113"/>
      <c r="O113"/>
      <c r="P113"/>
      <c r="Q113"/>
      <c r="R113"/>
    </row>
    <row r="114" spans="1:18" s="10" customFormat="1" ht="12.75">
      <c r="A114"/>
      <c r="B114" s="80"/>
      <c r="C114" s="53"/>
      <c r="D114"/>
      <c r="E114"/>
      <c r="F114"/>
      <c r="G114"/>
      <c r="H114"/>
      <c r="I114"/>
      <c r="J114"/>
      <c r="K114" s="90"/>
      <c r="L114"/>
      <c r="M114"/>
      <c r="N114"/>
      <c r="O114"/>
      <c r="P114"/>
      <c r="Q114"/>
      <c r="R114"/>
    </row>
    <row r="115" spans="1:18" s="11" customFormat="1" ht="12.75">
      <c r="A115"/>
      <c r="B115" s="80"/>
      <c r="C115" s="53"/>
      <c r="D115"/>
      <c r="E115"/>
      <c r="F115"/>
      <c r="G115"/>
      <c r="H115"/>
      <c r="I115"/>
      <c r="J115"/>
      <c r="K115" s="90"/>
      <c r="L115"/>
      <c r="M115"/>
      <c r="N115"/>
      <c r="O115"/>
      <c r="P115"/>
      <c r="Q115"/>
      <c r="R115"/>
    </row>
    <row r="116" spans="1:18" s="10" customFormat="1" ht="12.75">
      <c r="A116"/>
      <c r="B116" s="80"/>
      <c r="C116" s="53"/>
      <c r="D116"/>
      <c r="E116"/>
      <c r="F116"/>
      <c r="G116"/>
      <c r="H116"/>
      <c r="I116"/>
      <c r="J116"/>
      <c r="K116" s="90"/>
      <c r="L116"/>
      <c r="M116"/>
      <c r="N116"/>
      <c r="O116"/>
      <c r="P116"/>
      <c r="Q116"/>
      <c r="R116"/>
    </row>
    <row r="117" spans="1:18" s="10" customFormat="1" ht="12.75">
      <c r="A117"/>
      <c r="B117" s="80"/>
      <c r="C117" s="53"/>
      <c r="D117"/>
      <c r="E117"/>
      <c r="F117"/>
      <c r="G117"/>
      <c r="H117"/>
      <c r="I117"/>
      <c r="J117"/>
      <c r="K117" s="90"/>
      <c r="L117"/>
      <c r="M117"/>
      <c r="N117"/>
      <c r="O117"/>
      <c r="P117"/>
      <c r="Q117"/>
      <c r="R117"/>
    </row>
    <row r="118" spans="1:18" s="27" customFormat="1" ht="12.75">
      <c r="A118"/>
      <c r="B118" s="80"/>
      <c r="C118" s="53"/>
      <c r="D118"/>
      <c r="E118"/>
      <c r="F118"/>
      <c r="G118"/>
      <c r="H118"/>
      <c r="I118"/>
      <c r="J118"/>
      <c r="K118" s="90"/>
      <c r="L118"/>
      <c r="M118"/>
      <c r="N118"/>
      <c r="O118"/>
      <c r="P118"/>
      <c r="Q118"/>
      <c r="R118"/>
    </row>
    <row r="119" spans="1:18" s="11" customFormat="1" ht="12.75">
      <c r="A119"/>
      <c r="B119" s="80"/>
      <c r="C119" s="53"/>
      <c r="D119"/>
      <c r="E119"/>
      <c r="F119"/>
      <c r="G119"/>
      <c r="H119"/>
      <c r="I119"/>
      <c r="J119"/>
      <c r="K119" s="90"/>
      <c r="L119"/>
      <c r="M119"/>
      <c r="N119"/>
      <c r="O119"/>
      <c r="P119"/>
      <c r="Q119"/>
      <c r="R119"/>
    </row>
    <row r="120" spans="1:18" s="10" customFormat="1" ht="12.75">
      <c r="A120"/>
      <c r="B120" s="80"/>
      <c r="C120" s="53"/>
      <c r="D120"/>
      <c r="E120"/>
      <c r="F120"/>
      <c r="G120"/>
      <c r="H120"/>
      <c r="I120"/>
      <c r="J120"/>
      <c r="K120" s="90"/>
      <c r="L120"/>
      <c r="M120"/>
      <c r="N120"/>
      <c r="O120"/>
      <c r="P120"/>
      <c r="Q120"/>
      <c r="R120"/>
    </row>
    <row r="121" spans="1:18" s="10" customFormat="1" ht="12.75">
      <c r="A121"/>
      <c r="B121" s="80"/>
      <c r="C121" s="53"/>
      <c r="D121"/>
      <c r="E121"/>
      <c r="F121"/>
      <c r="G121"/>
      <c r="H121"/>
      <c r="I121"/>
      <c r="J121"/>
      <c r="K121" s="90"/>
      <c r="L121"/>
      <c r="M121"/>
      <c r="N121"/>
      <c r="O121"/>
      <c r="P121"/>
      <c r="Q121"/>
      <c r="R121"/>
    </row>
    <row r="122" spans="1:18" s="11" customFormat="1" ht="12.75">
      <c r="A122"/>
      <c r="B122" s="80"/>
      <c r="C122" s="53"/>
      <c r="D122"/>
      <c r="E122"/>
      <c r="F122"/>
      <c r="G122"/>
      <c r="H122"/>
      <c r="I122"/>
      <c r="J122"/>
      <c r="K122" s="90"/>
      <c r="L122"/>
      <c r="M122"/>
      <c r="N122"/>
      <c r="O122"/>
      <c r="P122"/>
      <c r="Q122"/>
      <c r="R122"/>
    </row>
    <row r="123" spans="1:18" s="10" customFormat="1" ht="12.75">
      <c r="A123"/>
      <c r="B123" s="80"/>
      <c r="C123" s="53"/>
      <c r="D123"/>
      <c r="E123"/>
      <c r="F123"/>
      <c r="G123"/>
      <c r="H123"/>
      <c r="I123"/>
      <c r="J123"/>
      <c r="K123" s="90"/>
      <c r="L123"/>
      <c r="M123"/>
      <c r="N123"/>
      <c r="O123"/>
      <c r="P123"/>
      <c r="Q123"/>
      <c r="R123"/>
    </row>
    <row r="124" spans="1:18" s="10" customFormat="1" ht="12.75">
      <c r="A124"/>
      <c r="B124" s="80"/>
      <c r="C124" s="53"/>
      <c r="D124"/>
      <c r="E124"/>
      <c r="F124"/>
      <c r="G124"/>
      <c r="H124"/>
      <c r="I124"/>
      <c r="J124"/>
      <c r="K124" s="90"/>
      <c r="L124"/>
      <c r="M124"/>
      <c r="N124"/>
      <c r="O124"/>
      <c r="P124"/>
      <c r="Q124"/>
      <c r="R124"/>
    </row>
    <row r="125" spans="1:18" s="10" customFormat="1" ht="12.75">
      <c r="A125"/>
      <c r="B125" s="80"/>
      <c r="C125" s="53"/>
      <c r="D125"/>
      <c r="E125"/>
      <c r="F125"/>
      <c r="G125"/>
      <c r="H125"/>
      <c r="I125"/>
      <c r="J125"/>
      <c r="K125" s="90"/>
      <c r="L125"/>
      <c r="M125"/>
      <c r="N125"/>
      <c r="O125"/>
      <c r="P125"/>
      <c r="Q125"/>
      <c r="R125"/>
    </row>
    <row r="126" spans="1:18" s="10" customFormat="1" ht="12.75">
      <c r="A126"/>
      <c r="B126" s="80"/>
      <c r="C126" s="53"/>
      <c r="D126"/>
      <c r="E126"/>
      <c r="F126"/>
      <c r="G126"/>
      <c r="H126"/>
      <c r="I126"/>
      <c r="J126"/>
      <c r="K126" s="90"/>
      <c r="L126"/>
      <c r="M126"/>
      <c r="N126"/>
      <c r="O126"/>
      <c r="P126"/>
      <c r="Q126"/>
      <c r="R126"/>
    </row>
    <row r="127" spans="1:18" s="11" customFormat="1" ht="12.75">
      <c r="A127"/>
      <c r="B127" s="80"/>
      <c r="C127" s="53"/>
      <c r="D127"/>
      <c r="E127"/>
      <c r="F127"/>
      <c r="G127"/>
      <c r="H127"/>
      <c r="I127"/>
      <c r="J127"/>
      <c r="K127" s="90"/>
      <c r="L127"/>
      <c r="M127"/>
      <c r="N127"/>
      <c r="O127"/>
      <c r="P127"/>
      <c r="Q127"/>
      <c r="R127"/>
    </row>
    <row r="128" spans="1:18" s="10" customFormat="1" ht="12.75">
      <c r="A128"/>
      <c r="B128" s="80"/>
      <c r="C128" s="53"/>
      <c r="D128"/>
      <c r="E128"/>
      <c r="F128"/>
      <c r="G128"/>
      <c r="H128"/>
      <c r="I128"/>
      <c r="J128"/>
      <c r="K128" s="90"/>
      <c r="L128"/>
      <c r="M128"/>
      <c r="N128"/>
      <c r="O128"/>
      <c r="P128"/>
      <c r="Q128"/>
      <c r="R128"/>
    </row>
    <row r="129" spans="1:18" s="10" customFormat="1" ht="12.75">
      <c r="A129"/>
      <c r="B129" s="80"/>
      <c r="C129" s="53"/>
      <c r="D129"/>
      <c r="E129"/>
      <c r="F129"/>
      <c r="G129"/>
      <c r="H129"/>
      <c r="I129"/>
      <c r="J129"/>
      <c r="K129" s="90"/>
      <c r="L129"/>
      <c r="M129"/>
      <c r="N129"/>
      <c r="O129"/>
      <c r="P129"/>
      <c r="Q129"/>
      <c r="R129"/>
    </row>
    <row r="130" spans="1:18" s="10" customFormat="1" ht="12.75">
      <c r="A130"/>
      <c r="B130" s="80"/>
      <c r="C130" s="53"/>
      <c r="D130"/>
      <c r="E130"/>
      <c r="F130"/>
      <c r="G130"/>
      <c r="H130"/>
      <c r="I130"/>
      <c r="J130"/>
      <c r="K130" s="90"/>
      <c r="L130"/>
      <c r="M130"/>
      <c r="N130"/>
      <c r="O130"/>
      <c r="P130"/>
      <c r="Q130"/>
      <c r="R130"/>
    </row>
    <row r="131" spans="1:18" s="10" customFormat="1" ht="12.75">
      <c r="A131"/>
      <c r="B131" s="80"/>
      <c r="C131" s="53"/>
      <c r="D131"/>
      <c r="E131"/>
      <c r="F131"/>
      <c r="G131"/>
      <c r="H131"/>
      <c r="I131"/>
      <c r="J131"/>
      <c r="K131" s="90"/>
      <c r="L131"/>
      <c r="M131"/>
      <c r="N131"/>
      <c r="O131"/>
      <c r="P131"/>
      <c r="Q131"/>
      <c r="R131"/>
    </row>
    <row r="132" spans="1:18" s="10" customFormat="1" ht="12.75">
      <c r="A132"/>
      <c r="B132" s="80"/>
      <c r="C132" s="53"/>
      <c r="D132"/>
      <c r="E132"/>
      <c r="F132"/>
      <c r="G132"/>
      <c r="H132"/>
      <c r="I132"/>
      <c r="J132"/>
      <c r="K132" s="90"/>
      <c r="L132"/>
      <c r="M132"/>
      <c r="N132"/>
      <c r="O132"/>
      <c r="P132"/>
      <c r="Q132"/>
      <c r="R132"/>
    </row>
    <row r="133" spans="1:18" s="10" customFormat="1" ht="74.25" customHeight="1">
      <c r="A133"/>
      <c r="B133" s="80"/>
      <c r="C133" s="53"/>
      <c r="D133"/>
      <c r="E133"/>
      <c r="F133"/>
      <c r="G133"/>
      <c r="H133"/>
      <c r="I133"/>
      <c r="J133"/>
      <c r="K133" s="90"/>
      <c r="L133"/>
      <c r="M133"/>
      <c r="N133"/>
      <c r="O133"/>
      <c r="P133"/>
      <c r="Q133"/>
      <c r="R133"/>
    </row>
    <row r="134" spans="1:18" s="11" customFormat="1" ht="12.75">
      <c r="A134"/>
      <c r="B134" s="80"/>
      <c r="C134" s="53"/>
      <c r="D134"/>
      <c r="E134"/>
      <c r="F134"/>
      <c r="G134"/>
      <c r="H134"/>
      <c r="I134"/>
      <c r="J134"/>
      <c r="K134" s="90"/>
      <c r="L134"/>
      <c r="M134"/>
      <c r="N134"/>
      <c r="O134"/>
      <c r="P134"/>
      <c r="Q134"/>
      <c r="R134"/>
    </row>
    <row r="135" spans="1:18" s="10" customFormat="1" ht="12.75">
      <c r="A135"/>
      <c r="B135" s="80"/>
      <c r="C135" s="53"/>
      <c r="D135"/>
      <c r="E135"/>
      <c r="F135"/>
      <c r="G135"/>
      <c r="H135"/>
      <c r="I135"/>
      <c r="J135"/>
      <c r="K135" s="90"/>
      <c r="L135"/>
      <c r="M135"/>
      <c r="N135"/>
      <c r="O135"/>
      <c r="P135"/>
      <c r="Q135"/>
      <c r="R135"/>
    </row>
    <row r="136" spans="1:18" s="31" customFormat="1" ht="12.75">
      <c r="A136"/>
      <c r="B136" s="80"/>
      <c r="C136" s="53"/>
      <c r="D136"/>
      <c r="E136"/>
      <c r="F136"/>
      <c r="G136"/>
      <c r="H136"/>
      <c r="I136"/>
      <c r="J136"/>
      <c r="K136" s="90"/>
      <c r="L136"/>
      <c r="M136"/>
      <c r="N136"/>
      <c r="O136"/>
      <c r="P136"/>
      <c r="Q136"/>
      <c r="R136"/>
    </row>
    <row r="137" spans="1:18" s="11" customFormat="1" ht="12.75">
      <c r="A137"/>
      <c r="B137" s="80"/>
      <c r="C137" s="53"/>
      <c r="D137"/>
      <c r="E137"/>
      <c r="F137"/>
      <c r="G137"/>
      <c r="H137"/>
      <c r="I137"/>
      <c r="J137"/>
      <c r="K137" s="90"/>
      <c r="L137"/>
      <c r="M137"/>
      <c r="N137"/>
      <c r="O137"/>
      <c r="P137"/>
      <c r="Q137"/>
      <c r="R137"/>
    </row>
    <row r="138" spans="11:18" ht="12.75">
      <c r="K138" s="90"/>
      <c r="L138"/>
      <c r="M138"/>
      <c r="N138"/>
      <c r="O138"/>
      <c r="P138"/>
      <c r="Q138"/>
      <c r="R138"/>
    </row>
  </sheetData>
  <sheetProtection/>
  <mergeCells count="31">
    <mergeCell ref="N9:N11"/>
    <mergeCell ref="O9:O11"/>
    <mergeCell ref="K7:K11"/>
    <mergeCell ref="P7:P11"/>
    <mergeCell ref="L8:L11"/>
    <mergeCell ref="M8:M11"/>
    <mergeCell ref="N8:O8"/>
    <mergeCell ref="A2:R2"/>
    <mergeCell ref="D7:I7"/>
    <mergeCell ref="C6:I6"/>
    <mergeCell ref="L7:O7"/>
    <mergeCell ref="Q7:R7"/>
    <mergeCell ref="C7:C11"/>
    <mergeCell ref="Q8:Q11"/>
    <mergeCell ref="R8:R11"/>
    <mergeCell ref="A3:R3"/>
    <mergeCell ref="A4:R4"/>
    <mergeCell ref="F8:F11"/>
    <mergeCell ref="G8:G11"/>
    <mergeCell ref="H8:H11"/>
    <mergeCell ref="I8:I11"/>
    <mergeCell ref="K6:O6"/>
    <mergeCell ref="P6:R6"/>
    <mergeCell ref="A13:B13"/>
    <mergeCell ref="A14:B14"/>
    <mergeCell ref="A36:B36"/>
    <mergeCell ref="J6:J11"/>
    <mergeCell ref="A6:B11"/>
    <mergeCell ref="A12:B12"/>
    <mergeCell ref="E8:E11"/>
    <mergeCell ref="D8:D11"/>
  </mergeCells>
  <printOptions/>
  <pageMargins left="0.75" right="0.25" top="0.5" bottom="0.5" header="0" footer="0"/>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T89"/>
  <sheetViews>
    <sheetView view="pageLayout" zoomScale="115" zoomScalePageLayoutView="115" workbookViewId="0" topLeftCell="A1">
      <pane ySplit="4440" topLeftCell="A1" activePane="topLeft" state="split"/>
      <selection pane="topLeft" activeCell="A3" sqref="A3:J3"/>
      <selection pane="bottomLeft" activeCell="C78" sqref="C78"/>
    </sheetView>
  </sheetViews>
  <sheetFormatPr defaultColWidth="9.140625" defaultRowHeight="12.75"/>
  <cols>
    <col min="1" max="1" width="4.140625" style="32" customWidth="1"/>
    <col min="2" max="2" width="28.8515625" style="32" customWidth="1"/>
    <col min="3" max="3" width="12.8515625" style="127" bestFit="1" customWidth="1"/>
    <col min="4" max="4" width="10.140625" style="127" customWidth="1"/>
    <col min="5" max="5" width="11.421875" style="127" customWidth="1"/>
    <col min="6" max="6" width="11.57421875" style="127" customWidth="1"/>
    <col min="7" max="7" width="12.7109375" style="127" customWidth="1"/>
    <col min="8" max="8" width="13.140625" style="127" customWidth="1"/>
    <col min="9" max="9" width="11.57421875" style="127" bestFit="1" customWidth="1"/>
    <col min="10" max="10" width="13.57421875" style="127" customWidth="1"/>
    <col min="11" max="16384" width="9.140625" style="32" customWidth="1"/>
  </cols>
  <sheetData>
    <row r="1" spans="1:10" ht="18.75">
      <c r="A1" s="437" t="s">
        <v>7</v>
      </c>
      <c r="B1" s="437"/>
      <c r="C1" s="124"/>
      <c r="D1" s="124"/>
      <c r="E1" s="124"/>
      <c r="F1" s="124"/>
      <c r="G1" s="124"/>
      <c r="H1" s="124"/>
      <c r="I1" s="124"/>
      <c r="J1" s="124"/>
    </row>
    <row r="2" spans="1:10" ht="18.75" customHeight="1">
      <c r="A2" s="461" t="s">
        <v>115</v>
      </c>
      <c r="B2" s="461"/>
      <c r="C2" s="461"/>
      <c r="D2" s="461"/>
      <c r="E2" s="461"/>
      <c r="F2" s="461"/>
      <c r="G2" s="461"/>
      <c r="H2" s="461"/>
      <c r="I2" s="461"/>
      <c r="J2" s="461"/>
    </row>
    <row r="3" spans="1:10" ht="16.5">
      <c r="A3" s="543" t="s">
        <v>150</v>
      </c>
      <c r="B3" s="543"/>
      <c r="C3" s="543"/>
      <c r="D3" s="543"/>
      <c r="E3" s="543"/>
      <c r="F3" s="543"/>
      <c r="G3" s="543"/>
      <c r="H3" s="543"/>
      <c r="I3" s="543"/>
      <c r="J3" s="543"/>
    </row>
    <row r="4" spans="1:10" ht="18.75">
      <c r="A4" s="438" t="s">
        <v>315</v>
      </c>
      <c r="B4" s="484"/>
      <c r="C4" s="484"/>
      <c r="D4" s="484"/>
      <c r="E4" s="484"/>
      <c r="F4" s="484"/>
      <c r="G4" s="484"/>
      <c r="H4" s="484"/>
      <c r="I4" s="484"/>
      <c r="J4" s="484"/>
    </row>
    <row r="5" spans="1:10" ht="12.75">
      <c r="A5" s="47"/>
      <c r="B5" s="47"/>
      <c r="C5" s="125"/>
      <c r="D5" s="125"/>
      <c r="E5" s="125"/>
      <c r="F5" s="125"/>
      <c r="G5" s="125"/>
      <c r="H5" s="125"/>
      <c r="I5" s="125"/>
      <c r="J5" s="125"/>
    </row>
    <row r="6" spans="1:10" ht="52.5" customHeight="1">
      <c r="A6" s="534"/>
      <c r="B6" s="535"/>
      <c r="C6" s="514" t="s">
        <v>278</v>
      </c>
      <c r="D6" s="514"/>
      <c r="E6" s="514" t="s">
        <v>166</v>
      </c>
      <c r="F6" s="514"/>
      <c r="G6" s="514" t="s">
        <v>167</v>
      </c>
      <c r="H6" s="514"/>
      <c r="I6" s="541" t="s">
        <v>90</v>
      </c>
      <c r="J6" s="542"/>
    </row>
    <row r="7" spans="1:10" ht="25.5">
      <c r="A7" s="536"/>
      <c r="B7" s="537"/>
      <c r="C7" s="126" t="s">
        <v>32</v>
      </c>
      <c r="D7" s="126" t="s">
        <v>33</v>
      </c>
      <c r="E7" s="126" t="s">
        <v>32</v>
      </c>
      <c r="F7" s="126" t="s">
        <v>33</v>
      </c>
      <c r="G7" s="126" t="s">
        <v>32</v>
      </c>
      <c r="H7" s="126" t="s">
        <v>33</v>
      </c>
      <c r="I7" s="126" t="s">
        <v>32</v>
      </c>
      <c r="J7" s="126" t="s">
        <v>33</v>
      </c>
    </row>
    <row r="8" spans="1:10" ht="12.75">
      <c r="A8" s="538" t="s">
        <v>40</v>
      </c>
      <c r="B8" s="431"/>
      <c r="C8" s="86">
        <v>1</v>
      </c>
      <c r="D8" s="86">
        <v>2</v>
      </c>
      <c r="E8" s="86">
        <v>3</v>
      </c>
      <c r="F8" s="86">
        <v>4</v>
      </c>
      <c r="G8" s="86">
        <v>5</v>
      </c>
      <c r="H8" s="86">
        <v>6</v>
      </c>
      <c r="I8" s="86">
        <v>7</v>
      </c>
      <c r="J8" s="86">
        <v>8</v>
      </c>
    </row>
    <row r="9" spans="1:10" ht="15" customHeight="1">
      <c r="A9" s="539" t="s">
        <v>54</v>
      </c>
      <c r="B9" s="540"/>
      <c r="C9" s="173"/>
      <c r="D9" s="173"/>
      <c r="E9" s="173"/>
      <c r="F9" s="173"/>
      <c r="G9" s="173">
        <f>G10+G14+G17</f>
        <v>55142199</v>
      </c>
      <c r="H9" s="173">
        <f>H10+H14+H17</f>
        <v>55111455</v>
      </c>
      <c r="I9" s="173">
        <f>I10+I14+I17</f>
        <v>3592</v>
      </c>
      <c r="J9" s="173">
        <f>J10+J14+J17</f>
        <v>3485</v>
      </c>
    </row>
    <row r="10" spans="1:10" ht="27" customHeight="1">
      <c r="A10" s="532" t="s">
        <v>91</v>
      </c>
      <c r="B10" s="533"/>
      <c r="C10" s="155"/>
      <c r="D10" s="155"/>
      <c r="E10" s="155">
        <f>SUM(E11:E13)</f>
        <v>0</v>
      </c>
      <c r="F10" s="155">
        <f>SUM(F11:F13)</f>
        <v>0</v>
      </c>
      <c r="G10" s="155">
        <f>SUM(G11:G13)</f>
        <v>0</v>
      </c>
      <c r="H10" s="155">
        <f>SUM(H11:H13)</f>
        <v>0</v>
      </c>
      <c r="I10" s="155"/>
      <c r="J10" s="155"/>
    </row>
    <row r="11" spans="1:10" ht="15.75">
      <c r="A11" s="176">
        <v>1</v>
      </c>
      <c r="B11" s="181" t="s">
        <v>255</v>
      </c>
      <c r="C11" s="110"/>
      <c r="D11" s="110"/>
      <c r="E11" s="173" t="s">
        <v>93</v>
      </c>
      <c r="F11" s="173" t="s">
        <v>93</v>
      </c>
      <c r="G11" s="173" t="s">
        <v>93</v>
      </c>
      <c r="H11" s="173" t="s">
        <v>93</v>
      </c>
      <c r="I11" s="110"/>
      <c r="J11" s="110"/>
    </row>
    <row r="12" spans="1:10" ht="15.75">
      <c r="A12" s="176">
        <v>2</v>
      </c>
      <c r="B12" s="181" t="s">
        <v>256</v>
      </c>
      <c r="C12" s="110"/>
      <c r="D12" s="110"/>
      <c r="E12" s="173" t="s">
        <v>93</v>
      </c>
      <c r="F12" s="173" t="s">
        <v>93</v>
      </c>
      <c r="G12" s="173" t="s">
        <v>93</v>
      </c>
      <c r="H12" s="173" t="s">
        <v>93</v>
      </c>
      <c r="I12" s="110"/>
      <c r="J12" s="110"/>
    </row>
    <row r="13" spans="1:10" ht="15.75">
      <c r="A13" s="176">
        <v>3</v>
      </c>
      <c r="B13" s="181" t="s">
        <v>257</v>
      </c>
      <c r="C13" s="110"/>
      <c r="D13" s="110"/>
      <c r="E13" s="173" t="s">
        <v>93</v>
      </c>
      <c r="F13" s="173" t="s">
        <v>93</v>
      </c>
      <c r="G13" s="173" t="s">
        <v>93</v>
      </c>
      <c r="H13" s="173" t="s">
        <v>93</v>
      </c>
      <c r="I13" s="110"/>
      <c r="J13" s="110"/>
    </row>
    <row r="14" spans="1:10" ht="15.75">
      <c r="A14" s="532" t="s">
        <v>92</v>
      </c>
      <c r="B14" s="533"/>
      <c r="C14" s="155"/>
      <c r="D14" s="155"/>
      <c r="E14" s="155"/>
      <c r="F14" s="155"/>
      <c r="G14" s="155"/>
      <c r="H14" s="155"/>
      <c r="I14" s="155"/>
      <c r="J14" s="155"/>
    </row>
    <row r="15" spans="1:10" s="43" customFormat="1" ht="15.75">
      <c r="A15" s="179">
        <v>1</v>
      </c>
      <c r="B15" s="180" t="s">
        <v>127</v>
      </c>
      <c r="C15" s="154"/>
      <c r="D15" s="154"/>
      <c r="E15" s="111"/>
      <c r="F15" s="111"/>
      <c r="G15" s="154"/>
      <c r="H15" s="154"/>
      <c r="I15" s="111"/>
      <c r="J15" s="111"/>
    </row>
    <row r="16" spans="1:10" s="43" customFormat="1" ht="15.75">
      <c r="A16" s="179">
        <v>2</v>
      </c>
      <c r="B16" s="180" t="s">
        <v>128</v>
      </c>
      <c r="C16" s="154"/>
      <c r="D16" s="154"/>
      <c r="E16" s="111"/>
      <c r="F16" s="111"/>
      <c r="G16" s="154"/>
      <c r="H16" s="154"/>
      <c r="I16" s="111"/>
      <c r="J16" s="111"/>
    </row>
    <row r="17" spans="1:10" ht="15.75">
      <c r="A17" s="177" t="s">
        <v>94</v>
      </c>
      <c r="B17" s="178"/>
      <c r="C17" s="155">
        <f aca="true" t="shared" si="0" ref="C17:J17">SUM(C18:C80)</f>
        <v>0</v>
      </c>
      <c r="D17" s="155">
        <f t="shared" si="0"/>
        <v>0</v>
      </c>
      <c r="E17" s="155">
        <f t="shared" si="0"/>
        <v>0</v>
      </c>
      <c r="F17" s="155">
        <f t="shared" si="0"/>
        <v>0</v>
      </c>
      <c r="G17" s="155">
        <f t="shared" si="0"/>
        <v>55142199</v>
      </c>
      <c r="H17" s="155">
        <f t="shared" si="0"/>
        <v>55111455</v>
      </c>
      <c r="I17" s="155">
        <f t="shared" si="0"/>
        <v>3592</v>
      </c>
      <c r="J17" s="155">
        <f t="shared" si="0"/>
        <v>3485</v>
      </c>
    </row>
    <row r="18" spans="1:10" ht="15.75">
      <c r="A18" s="164">
        <v>1</v>
      </c>
      <c r="B18" s="174" t="s">
        <v>168</v>
      </c>
      <c r="C18" s="173" t="s">
        <v>93</v>
      </c>
      <c r="D18" s="173" t="s">
        <v>93</v>
      </c>
      <c r="E18" s="173" t="s">
        <v>93</v>
      </c>
      <c r="F18" s="173" t="s">
        <v>93</v>
      </c>
      <c r="G18" s="185">
        <v>78917</v>
      </c>
      <c r="H18" s="185">
        <v>78917</v>
      </c>
      <c r="I18" s="185">
        <v>115</v>
      </c>
      <c r="J18" s="185">
        <v>115</v>
      </c>
    </row>
    <row r="19" spans="1:10" ht="15.75">
      <c r="A19" s="164">
        <v>2</v>
      </c>
      <c r="B19" s="174" t="s">
        <v>253</v>
      </c>
      <c r="C19" s="173" t="s">
        <v>93</v>
      </c>
      <c r="D19" s="173" t="s">
        <v>93</v>
      </c>
      <c r="E19" s="173" t="s">
        <v>93</v>
      </c>
      <c r="F19" s="173" t="s">
        <v>93</v>
      </c>
      <c r="G19" s="185">
        <v>32996</v>
      </c>
      <c r="H19" s="185">
        <v>32954</v>
      </c>
      <c r="I19" s="185">
        <v>56</v>
      </c>
      <c r="J19" s="185">
        <v>56</v>
      </c>
    </row>
    <row r="20" spans="1:10" ht="15.75">
      <c r="A20" s="164">
        <v>3</v>
      </c>
      <c r="B20" s="174" t="s">
        <v>169</v>
      </c>
      <c r="C20" s="173" t="s">
        <v>93</v>
      </c>
      <c r="D20" s="173" t="s">
        <v>93</v>
      </c>
      <c r="E20" s="173" t="s">
        <v>93</v>
      </c>
      <c r="F20" s="173" t="s">
        <v>93</v>
      </c>
      <c r="G20" s="185">
        <v>26659</v>
      </c>
      <c r="H20" s="185">
        <v>26659</v>
      </c>
      <c r="I20" s="360">
        <v>0</v>
      </c>
      <c r="J20" s="360">
        <v>0</v>
      </c>
    </row>
    <row r="21" spans="1:10" ht="15.75">
      <c r="A21" s="164">
        <v>4</v>
      </c>
      <c r="B21" s="174" t="s">
        <v>170</v>
      </c>
      <c r="C21" s="173" t="s">
        <v>93</v>
      </c>
      <c r="D21" s="173" t="s">
        <v>93</v>
      </c>
      <c r="E21" s="173" t="s">
        <v>93</v>
      </c>
      <c r="F21" s="173" t="s">
        <v>93</v>
      </c>
      <c r="G21" s="360">
        <v>0</v>
      </c>
      <c r="H21" s="360">
        <v>0</v>
      </c>
      <c r="I21" s="360">
        <v>0</v>
      </c>
      <c r="J21" s="360">
        <v>0</v>
      </c>
    </row>
    <row r="22" spans="1:10" ht="15.75">
      <c r="A22" s="164">
        <v>5</v>
      </c>
      <c r="B22" s="174" t="s">
        <v>171</v>
      </c>
      <c r="C22" s="173" t="s">
        <v>93</v>
      </c>
      <c r="D22" s="173" t="s">
        <v>93</v>
      </c>
      <c r="E22" s="173" t="s">
        <v>93</v>
      </c>
      <c r="F22" s="173" t="s">
        <v>93</v>
      </c>
      <c r="G22" s="185">
        <v>286</v>
      </c>
      <c r="H22" s="185">
        <v>286</v>
      </c>
      <c r="I22" s="185"/>
      <c r="J22" s="185"/>
    </row>
    <row r="23" spans="1:11" ht="15.75">
      <c r="A23" s="164">
        <v>6</v>
      </c>
      <c r="B23" s="174" t="s">
        <v>172</v>
      </c>
      <c r="C23" s="173" t="s">
        <v>93</v>
      </c>
      <c r="D23" s="173" t="s">
        <v>93</v>
      </c>
      <c r="E23" s="173" t="s">
        <v>93</v>
      </c>
      <c r="F23" s="173" t="s">
        <v>93</v>
      </c>
      <c r="G23" s="185">
        <v>17619</v>
      </c>
      <c r="H23" s="185"/>
      <c r="I23" s="185">
        <v>11</v>
      </c>
      <c r="J23" s="185"/>
      <c r="K23" s="32" t="s">
        <v>300</v>
      </c>
    </row>
    <row r="24" spans="1:10" ht="15.75">
      <c r="A24" s="164">
        <v>7</v>
      </c>
      <c r="B24" s="174" t="s">
        <v>173</v>
      </c>
      <c r="C24" s="173" t="s">
        <v>93</v>
      </c>
      <c r="D24" s="173" t="s">
        <v>93</v>
      </c>
      <c r="E24" s="173" t="s">
        <v>93</v>
      </c>
      <c r="F24" s="173" t="s">
        <v>93</v>
      </c>
      <c r="G24" s="185">
        <v>65643</v>
      </c>
      <c r="H24" s="185">
        <v>65643</v>
      </c>
      <c r="I24" s="185">
        <v>18</v>
      </c>
      <c r="J24" s="185">
        <v>18</v>
      </c>
    </row>
    <row r="25" spans="1:10" ht="15.75">
      <c r="A25" s="164">
        <v>8</v>
      </c>
      <c r="B25" s="174" t="s">
        <v>174</v>
      </c>
      <c r="C25" s="173" t="s">
        <v>93</v>
      </c>
      <c r="D25" s="173" t="s">
        <v>93</v>
      </c>
      <c r="E25" s="173" t="s">
        <v>93</v>
      </c>
      <c r="F25" s="173" t="s">
        <v>93</v>
      </c>
      <c r="G25" s="185">
        <v>15084</v>
      </c>
      <c r="H25" s="185">
        <v>15084</v>
      </c>
      <c r="I25" s="185">
        <v>4</v>
      </c>
      <c r="J25" s="185">
        <v>4</v>
      </c>
    </row>
    <row r="26" spans="1:10" ht="15.75">
      <c r="A26" s="164">
        <v>9</v>
      </c>
      <c r="B26" s="174" t="s">
        <v>175</v>
      </c>
      <c r="C26" s="173" t="s">
        <v>93</v>
      </c>
      <c r="D26" s="173" t="s">
        <v>93</v>
      </c>
      <c r="E26" s="173" t="s">
        <v>93</v>
      </c>
      <c r="F26" s="173" t="s">
        <v>93</v>
      </c>
      <c r="G26" s="185">
        <v>27404</v>
      </c>
      <c r="H26" s="185">
        <v>27404</v>
      </c>
      <c r="I26" s="185">
        <v>68</v>
      </c>
      <c r="J26" s="185">
        <v>68</v>
      </c>
    </row>
    <row r="27" spans="1:10" ht="15.75">
      <c r="A27" s="164">
        <v>10</v>
      </c>
      <c r="B27" s="174" t="s">
        <v>176</v>
      </c>
      <c r="C27" s="173" t="s">
        <v>93</v>
      </c>
      <c r="D27" s="173" t="s">
        <v>93</v>
      </c>
      <c r="E27" s="173" t="s">
        <v>93</v>
      </c>
      <c r="F27" s="173" t="s">
        <v>93</v>
      </c>
      <c r="G27" s="185">
        <v>59672</v>
      </c>
      <c r="H27" s="185">
        <v>59672</v>
      </c>
      <c r="I27" s="360">
        <v>0</v>
      </c>
      <c r="J27" s="360">
        <v>0</v>
      </c>
    </row>
    <row r="28" spans="1:10" ht="15.75">
      <c r="A28" s="164">
        <v>11</v>
      </c>
      <c r="B28" s="174" t="s">
        <v>177</v>
      </c>
      <c r="C28" s="173" t="s">
        <v>93</v>
      </c>
      <c r="D28" s="173" t="s">
        <v>93</v>
      </c>
      <c r="E28" s="173" t="s">
        <v>93</v>
      </c>
      <c r="F28" s="173" t="s">
        <v>93</v>
      </c>
      <c r="G28" s="185">
        <v>28365</v>
      </c>
      <c r="H28" s="185">
        <v>28358</v>
      </c>
      <c r="I28" s="185">
        <v>148</v>
      </c>
      <c r="J28" s="185">
        <v>148</v>
      </c>
    </row>
    <row r="29" spans="1:10" ht="15.75">
      <c r="A29" s="164">
        <v>12</v>
      </c>
      <c r="B29" s="174" t="s">
        <v>178</v>
      </c>
      <c r="C29" s="173" t="s">
        <v>93</v>
      </c>
      <c r="D29" s="173" t="s">
        <v>93</v>
      </c>
      <c r="E29" s="173" t="s">
        <v>93</v>
      </c>
      <c r="F29" s="173" t="s">
        <v>93</v>
      </c>
      <c r="G29" s="185">
        <v>20928</v>
      </c>
      <c r="H29" s="185">
        <v>20928</v>
      </c>
      <c r="I29" s="185">
        <v>86</v>
      </c>
      <c r="J29" s="185">
        <v>86</v>
      </c>
    </row>
    <row r="30" spans="1:10" ht="15.75">
      <c r="A30" s="164">
        <v>13</v>
      </c>
      <c r="B30" s="174" t="s">
        <v>179</v>
      </c>
      <c r="C30" s="173" t="s">
        <v>93</v>
      </c>
      <c r="D30" s="173" t="s">
        <v>93</v>
      </c>
      <c r="E30" s="173" t="s">
        <v>93</v>
      </c>
      <c r="F30" s="173" t="s">
        <v>93</v>
      </c>
      <c r="G30" s="185">
        <v>16564</v>
      </c>
      <c r="H30" s="185">
        <v>16534</v>
      </c>
      <c r="I30" s="185">
        <v>18</v>
      </c>
      <c r="J30" s="185">
        <v>18</v>
      </c>
    </row>
    <row r="31" spans="1:10" ht="15.75">
      <c r="A31" s="164">
        <v>14</v>
      </c>
      <c r="B31" s="174" t="s">
        <v>180</v>
      </c>
      <c r="C31" s="173" t="s">
        <v>93</v>
      </c>
      <c r="D31" s="173" t="s">
        <v>93</v>
      </c>
      <c r="E31" s="173" t="s">
        <v>93</v>
      </c>
      <c r="F31" s="173" t="s">
        <v>93</v>
      </c>
      <c r="G31" s="185">
        <v>1809</v>
      </c>
      <c r="H31" s="185">
        <v>1809</v>
      </c>
      <c r="I31" s="360">
        <v>0</v>
      </c>
      <c r="J31" s="360">
        <v>0</v>
      </c>
    </row>
    <row r="32" spans="1:10" ht="15.75">
      <c r="A32" s="164">
        <v>15</v>
      </c>
      <c r="B32" s="174" t="s">
        <v>181</v>
      </c>
      <c r="C32" s="173" t="s">
        <v>93</v>
      </c>
      <c r="D32" s="173" t="s">
        <v>93</v>
      </c>
      <c r="E32" s="173" t="s">
        <v>93</v>
      </c>
      <c r="F32" s="173" t="s">
        <v>93</v>
      </c>
      <c r="G32" s="185">
        <v>28509</v>
      </c>
      <c r="H32" s="185">
        <v>28508</v>
      </c>
      <c r="I32" s="185">
        <v>66</v>
      </c>
      <c r="J32" s="185">
        <v>66</v>
      </c>
    </row>
    <row r="33" spans="1:10" ht="15.75">
      <c r="A33" s="164">
        <v>16</v>
      </c>
      <c r="B33" s="174" t="s">
        <v>182</v>
      </c>
      <c r="C33" s="173" t="s">
        <v>93</v>
      </c>
      <c r="D33" s="173" t="s">
        <v>93</v>
      </c>
      <c r="E33" s="173" t="s">
        <v>93</v>
      </c>
      <c r="F33" s="173" t="s">
        <v>93</v>
      </c>
      <c r="G33" s="185">
        <v>57696</v>
      </c>
      <c r="H33" s="185">
        <v>57696</v>
      </c>
      <c r="I33" s="185">
        <v>49</v>
      </c>
      <c r="J33" s="185">
        <v>49</v>
      </c>
    </row>
    <row r="34" spans="1:10" ht="15.75">
      <c r="A34" s="164">
        <v>17</v>
      </c>
      <c r="B34" s="174" t="s">
        <v>183</v>
      </c>
      <c r="C34" s="173" t="s">
        <v>93</v>
      </c>
      <c r="D34" s="173" t="s">
        <v>93</v>
      </c>
      <c r="E34" s="173" t="s">
        <v>93</v>
      </c>
      <c r="F34" s="173" t="s">
        <v>93</v>
      </c>
      <c r="G34" s="185">
        <v>24439</v>
      </c>
      <c r="H34" s="185">
        <v>24430</v>
      </c>
      <c r="I34" s="185">
        <v>35</v>
      </c>
      <c r="J34" s="185">
        <v>35</v>
      </c>
    </row>
    <row r="35" spans="1:10" ht="15.75">
      <c r="A35" s="164">
        <v>18</v>
      </c>
      <c r="B35" s="174" t="s">
        <v>184</v>
      </c>
      <c r="C35" s="173" t="s">
        <v>93</v>
      </c>
      <c r="D35" s="173" t="s">
        <v>93</v>
      </c>
      <c r="E35" s="173" t="s">
        <v>93</v>
      </c>
      <c r="F35" s="173" t="s">
        <v>93</v>
      </c>
      <c r="G35" s="185">
        <v>4356</v>
      </c>
      <c r="H35" s="185">
        <v>4356</v>
      </c>
      <c r="I35" s="360">
        <v>0</v>
      </c>
      <c r="J35" s="360">
        <v>0</v>
      </c>
    </row>
    <row r="36" spans="1:10" ht="15.75">
      <c r="A36" s="164">
        <v>19</v>
      </c>
      <c r="B36" s="175" t="s">
        <v>202</v>
      </c>
      <c r="C36" s="173" t="s">
        <v>93</v>
      </c>
      <c r="D36" s="173" t="s">
        <v>93</v>
      </c>
      <c r="E36" s="173" t="s">
        <v>93</v>
      </c>
      <c r="F36" s="173" t="s">
        <v>93</v>
      </c>
      <c r="G36" s="185">
        <v>53449291</v>
      </c>
      <c r="H36" s="185">
        <v>53449291</v>
      </c>
      <c r="I36" s="185">
        <v>45</v>
      </c>
      <c r="J36" s="185">
        <v>45</v>
      </c>
    </row>
    <row r="37" spans="1:10" ht="15.75">
      <c r="A37" s="164">
        <v>20</v>
      </c>
      <c r="B37" s="175" t="s">
        <v>203</v>
      </c>
      <c r="C37" s="173" t="s">
        <v>93</v>
      </c>
      <c r="D37" s="173" t="s">
        <v>93</v>
      </c>
      <c r="E37" s="173" t="s">
        <v>93</v>
      </c>
      <c r="F37" s="173" t="s">
        <v>93</v>
      </c>
      <c r="G37" s="185">
        <v>244255</v>
      </c>
      <c r="H37" s="185">
        <v>244255</v>
      </c>
      <c r="I37" s="185">
        <v>212</v>
      </c>
      <c r="J37" s="185">
        <v>212</v>
      </c>
    </row>
    <row r="38" spans="1:10" ht="15.75">
      <c r="A38" s="164">
        <v>21</v>
      </c>
      <c r="B38" s="175" t="s">
        <v>204</v>
      </c>
      <c r="C38" s="173" t="s">
        <v>93</v>
      </c>
      <c r="D38" s="173" t="s">
        <v>93</v>
      </c>
      <c r="E38" s="173" t="s">
        <v>93</v>
      </c>
      <c r="F38" s="173" t="s">
        <v>93</v>
      </c>
      <c r="G38" s="185">
        <v>44423</v>
      </c>
      <c r="H38" s="185">
        <v>44423</v>
      </c>
      <c r="I38" s="185">
        <v>214</v>
      </c>
      <c r="J38" s="185">
        <v>214</v>
      </c>
    </row>
    <row r="39" spans="1:10" ht="15.75">
      <c r="A39" s="164">
        <v>22</v>
      </c>
      <c r="B39" s="175" t="s">
        <v>205</v>
      </c>
      <c r="C39" s="173" t="s">
        <v>93</v>
      </c>
      <c r="D39" s="173" t="s">
        <v>93</v>
      </c>
      <c r="E39" s="173" t="s">
        <v>93</v>
      </c>
      <c r="F39" s="173" t="s">
        <v>93</v>
      </c>
      <c r="G39" s="185">
        <v>1056</v>
      </c>
      <c r="H39" s="185">
        <v>1056</v>
      </c>
      <c r="I39" s="185"/>
      <c r="J39" s="185"/>
    </row>
    <row r="40" spans="1:10" ht="15.75">
      <c r="A40" s="164">
        <v>23</v>
      </c>
      <c r="B40" s="175" t="s">
        <v>206</v>
      </c>
      <c r="C40" s="173" t="s">
        <v>93</v>
      </c>
      <c r="D40" s="173" t="s">
        <v>93</v>
      </c>
      <c r="E40" s="173" t="s">
        <v>93</v>
      </c>
      <c r="F40" s="173" t="s">
        <v>93</v>
      </c>
      <c r="G40" s="185">
        <v>7228</v>
      </c>
      <c r="H40" s="185">
        <v>7228</v>
      </c>
      <c r="I40" s="360">
        <v>0</v>
      </c>
      <c r="J40" s="360">
        <v>0</v>
      </c>
    </row>
    <row r="41" spans="1:10" ht="15.75">
      <c r="A41" s="164">
        <v>24</v>
      </c>
      <c r="B41" s="175" t="s">
        <v>207</v>
      </c>
      <c r="C41" s="173" t="s">
        <v>93</v>
      </c>
      <c r="D41" s="173" t="s">
        <v>93</v>
      </c>
      <c r="E41" s="173" t="s">
        <v>93</v>
      </c>
      <c r="F41" s="173" t="s">
        <v>93</v>
      </c>
      <c r="G41" s="185">
        <v>74046</v>
      </c>
      <c r="H41" s="185">
        <v>73718</v>
      </c>
      <c r="I41" s="185">
        <v>44</v>
      </c>
      <c r="J41" s="185">
        <v>44</v>
      </c>
    </row>
    <row r="42" spans="1:10" ht="15.75">
      <c r="A42" s="164">
        <v>25</v>
      </c>
      <c r="B42" s="175" t="s">
        <v>208</v>
      </c>
      <c r="C42" s="173" t="s">
        <v>93</v>
      </c>
      <c r="D42" s="173" t="s">
        <v>93</v>
      </c>
      <c r="E42" s="173" t="s">
        <v>93</v>
      </c>
      <c r="F42" s="173" t="s">
        <v>93</v>
      </c>
      <c r="G42" s="185">
        <v>1637</v>
      </c>
      <c r="H42" s="185">
        <v>1637</v>
      </c>
      <c r="I42" s="185">
        <v>2</v>
      </c>
      <c r="J42" s="185">
        <v>2</v>
      </c>
    </row>
    <row r="43" spans="1:10" ht="15.75">
      <c r="A43" s="164">
        <v>26</v>
      </c>
      <c r="B43" s="175" t="s">
        <v>209</v>
      </c>
      <c r="C43" s="173" t="s">
        <v>93</v>
      </c>
      <c r="D43" s="173" t="s">
        <v>93</v>
      </c>
      <c r="E43" s="173" t="s">
        <v>93</v>
      </c>
      <c r="F43" s="173" t="s">
        <v>93</v>
      </c>
      <c r="G43" s="185">
        <v>27517</v>
      </c>
      <c r="H43" s="185">
        <v>27436</v>
      </c>
      <c r="I43" s="185">
        <v>23</v>
      </c>
      <c r="J43" s="185">
        <v>23</v>
      </c>
    </row>
    <row r="44" spans="1:10" ht="15.75">
      <c r="A44" s="164">
        <v>27</v>
      </c>
      <c r="B44" s="175" t="s">
        <v>210</v>
      </c>
      <c r="C44" s="173" t="s">
        <v>93</v>
      </c>
      <c r="D44" s="173" t="s">
        <v>93</v>
      </c>
      <c r="E44" s="173" t="s">
        <v>93</v>
      </c>
      <c r="F44" s="173" t="s">
        <v>93</v>
      </c>
      <c r="G44" s="185">
        <v>34987</v>
      </c>
      <c r="H44" s="185">
        <v>34978</v>
      </c>
      <c r="I44" s="185">
        <v>2</v>
      </c>
      <c r="J44" s="185">
        <v>2</v>
      </c>
    </row>
    <row r="45" spans="1:10" ht="15.75">
      <c r="A45" s="164">
        <v>28</v>
      </c>
      <c r="B45" s="175" t="s">
        <v>211</v>
      </c>
      <c r="C45" s="173" t="s">
        <v>93</v>
      </c>
      <c r="D45" s="173" t="s">
        <v>93</v>
      </c>
      <c r="E45" s="173" t="s">
        <v>93</v>
      </c>
      <c r="F45" s="173" t="s">
        <v>93</v>
      </c>
      <c r="G45" s="185">
        <v>5813</v>
      </c>
      <c r="H45" s="185">
        <v>5813</v>
      </c>
      <c r="I45" s="360">
        <v>0</v>
      </c>
      <c r="J45" s="360">
        <v>0</v>
      </c>
    </row>
    <row r="46" spans="1:10" ht="15.75">
      <c r="A46" s="164">
        <v>29</v>
      </c>
      <c r="B46" s="175" t="s">
        <v>212</v>
      </c>
      <c r="C46" s="173" t="s">
        <v>93</v>
      </c>
      <c r="D46" s="173" t="s">
        <v>93</v>
      </c>
      <c r="E46" s="173" t="s">
        <v>93</v>
      </c>
      <c r="F46" s="173" t="s">
        <v>93</v>
      </c>
      <c r="G46" s="185">
        <v>8897</v>
      </c>
      <c r="H46" s="185">
        <v>8897</v>
      </c>
      <c r="I46" s="360">
        <v>0</v>
      </c>
      <c r="J46" s="360">
        <v>0</v>
      </c>
    </row>
    <row r="47" spans="1:10" ht="15.75">
      <c r="A47" s="164">
        <v>30</v>
      </c>
      <c r="B47" s="175" t="s">
        <v>213</v>
      </c>
      <c r="C47" s="173" t="s">
        <v>93</v>
      </c>
      <c r="D47" s="173" t="s">
        <v>93</v>
      </c>
      <c r="E47" s="173" t="s">
        <v>93</v>
      </c>
      <c r="F47" s="173" t="s">
        <v>93</v>
      </c>
      <c r="G47" s="185">
        <v>2577</v>
      </c>
      <c r="H47" s="185">
        <v>2577</v>
      </c>
      <c r="I47" s="185">
        <v>3</v>
      </c>
      <c r="J47" s="185">
        <v>3</v>
      </c>
    </row>
    <row r="48" spans="1:10" ht="15.75">
      <c r="A48" s="164">
        <v>31</v>
      </c>
      <c r="B48" s="175" t="s">
        <v>214</v>
      </c>
      <c r="C48" s="173" t="s">
        <v>93</v>
      </c>
      <c r="D48" s="173" t="s">
        <v>93</v>
      </c>
      <c r="E48" s="173" t="s">
        <v>93</v>
      </c>
      <c r="F48" s="173" t="s">
        <v>93</v>
      </c>
      <c r="G48" s="185">
        <v>10512</v>
      </c>
      <c r="H48" s="185">
        <v>10512</v>
      </c>
      <c r="I48" s="185">
        <v>3</v>
      </c>
      <c r="J48" s="185">
        <v>3</v>
      </c>
    </row>
    <row r="49" spans="1:10" ht="15.75">
      <c r="A49" s="164">
        <v>32</v>
      </c>
      <c r="B49" s="175" t="s">
        <v>215</v>
      </c>
      <c r="C49" s="173" t="s">
        <v>93</v>
      </c>
      <c r="D49" s="173" t="s">
        <v>93</v>
      </c>
      <c r="E49" s="173" t="s">
        <v>93</v>
      </c>
      <c r="F49" s="173" t="s">
        <v>93</v>
      </c>
      <c r="G49" s="185">
        <v>97690</v>
      </c>
      <c r="H49" s="185">
        <v>97690</v>
      </c>
      <c r="I49" s="185">
        <v>162</v>
      </c>
      <c r="J49" s="185">
        <v>162</v>
      </c>
    </row>
    <row r="50" spans="1:10" ht="15.75">
      <c r="A50" s="164">
        <v>33</v>
      </c>
      <c r="B50" s="175" t="s">
        <v>216</v>
      </c>
      <c r="C50" s="173" t="s">
        <v>93</v>
      </c>
      <c r="D50" s="173" t="s">
        <v>93</v>
      </c>
      <c r="E50" s="173" t="s">
        <v>93</v>
      </c>
      <c r="F50" s="173" t="s">
        <v>93</v>
      </c>
      <c r="G50" s="88">
        <v>12178</v>
      </c>
      <c r="H50" s="88">
        <v>12177</v>
      </c>
      <c r="I50" s="88">
        <v>13</v>
      </c>
      <c r="J50" s="88">
        <v>13</v>
      </c>
    </row>
    <row r="51" spans="1:10" ht="15.75">
      <c r="A51" s="164">
        <v>34</v>
      </c>
      <c r="B51" s="175" t="s">
        <v>217</v>
      </c>
      <c r="C51" s="173" t="s">
        <v>93</v>
      </c>
      <c r="D51" s="173" t="s">
        <v>93</v>
      </c>
      <c r="E51" s="173" t="s">
        <v>93</v>
      </c>
      <c r="F51" s="173" t="s">
        <v>93</v>
      </c>
      <c r="G51" s="185">
        <v>2183</v>
      </c>
      <c r="H51" s="185">
        <v>2183</v>
      </c>
      <c r="I51" s="360">
        <v>0</v>
      </c>
      <c r="J51" s="360">
        <v>0</v>
      </c>
    </row>
    <row r="52" spans="1:10" ht="15.75">
      <c r="A52" s="164">
        <v>35</v>
      </c>
      <c r="B52" s="175" t="s">
        <v>218</v>
      </c>
      <c r="C52" s="173" t="s">
        <v>93</v>
      </c>
      <c r="D52" s="173" t="s">
        <v>93</v>
      </c>
      <c r="E52" s="173" t="s">
        <v>93</v>
      </c>
      <c r="F52" s="173" t="s">
        <v>93</v>
      </c>
      <c r="G52" s="185">
        <v>68001</v>
      </c>
      <c r="H52" s="185">
        <v>68001</v>
      </c>
      <c r="I52" s="185">
        <v>81</v>
      </c>
      <c r="J52" s="185">
        <v>81</v>
      </c>
    </row>
    <row r="53" spans="1:10" ht="15.75">
      <c r="A53" s="164">
        <v>36</v>
      </c>
      <c r="B53" s="89" t="s">
        <v>219</v>
      </c>
      <c r="C53" s="173" t="s">
        <v>93</v>
      </c>
      <c r="D53" s="173" t="s">
        <v>93</v>
      </c>
      <c r="E53" s="173" t="s">
        <v>93</v>
      </c>
      <c r="F53" s="173" t="s">
        <v>93</v>
      </c>
      <c r="G53" s="185">
        <v>5310</v>
      </c>
      <c r="H53" s="185">
        <v>5309</v>
      </c>
      <c r="I53" s="360">
        <v>0</v>
      </c>
      <c r="J53" s="360">
        <v>0</v>
      </c>
    </row>
    <row r="54" spans="1:10" ht="15.75">
      <c r="A54" s="164">
        <v>37</v>
      </c>
      <c r="B54" s="89" t="s">
        <v>220</v>
      </c>
      <c r="C54" s="173" t="s">
        <v>93</v>
      </c>
      <c r="D54" s="173" t="s">
        <v>93</v>
      </c>
      <c r="E54" s="173" t="s">
        <v>93</v>
      </c>
      <c r="F54" s="173" t="s">
        <v>93</v>
      </c>
      <c r="G54" s="185">
        <v>8870</v>
      </c>
      <c r="H54" s="185">
        <v>8870</v>
      </c>
      <c r="I54" s="185">
        <v>45</v>
      </c>
      <c r="J54" s="185">
        <v>45</v>
      </c>
    </row>
    <row r="55" spans="1:10" ht="15.75">
      <c r="A55" s="164">
        <v>38</v>
      </c>
      <c r="B55" s="89" t="s">
        <v>221</v>
      </c>
      <c r="C55" s="173" t="s">
        <v>93</v>
      </c>
      <c r="D55" s="173" t="s">
        <v>93</v>
      </c>
      <c r="E55" s="173" t="s">
        <v>93</v>
      </c>
      <c r="F55" s="173" t="s">
        <v>93</v>
      </c>
      <c r="G55" s="185">
        <v>110332</v>
      </c>
      <c r="H55" s="185">
        <v>110332</v>
      </c>
      <c r="I55" s="185">
        <v>1</v>
      </c>
      <c r="J55" s="185">
        <v>1</v>
      </c>
    </row>
    <row r="56" spans="1:10" ht="15.75">
      <c r="A56" s="164">
        <v>39</v>
      </c>
      <c r="B56" s="89" t="s">
        <v>222</v>
      </c>
      <c r="C56" s="173" t="s">
        <v>93</v>
      </c>
      <c r="D56" s="173" t="s">
        <v>93</v>
      </c>
      <c r="E56" s="173" t="s">
        <v>93</v>
      </c>
      <c r="F56" s="173" t="s">
        <v>93</v>
      </c>
      <c r="G56" s="360">
        <v>0</v>
      </c>
      <c r="H56" s="360">
        <v>0</v>
      </c>
      <c r="I56" s="360">
        <v>0</v>
      </c>
      <c r="J56" s="360">
        <v>0</v>
      </c>
    </row>
    <row r="57" spans="1:10" ht="15.75">
      <c r="A57" s="164">
        <v>40</v>
      </c>
      <c r="B57" s="89" t="s">
        <v>223</v>
      </c>
      <c r="C57" s="173" t="s">
        <v>93</v>
      </c>
      <c r="D57" s="173" t="s">
        <v>93</v>
      </c>
      <c r="E57" s="173" t="s">
        <v>93</v>
      </c>
      <c r="F57" s="173" t="s">
        <v>93</v>
      </c>
      <c r="G57" s="185">
        <v>41950</v>
      </c>
      <c r="H57" s="185">
        <v>41950</v>
      </c>
      <c r="I57" s="185">
        <v>15</v>
      </c>
      <c r="J57" s="185">
        <v>15</v>
      </c>
    </row>
    <row r="58" spans="1:10" ht="15.75">
      <c r="A58" s="164">
        <v>41</v>
      </c>
      <c r="B58" s="89" t="s">
        <v>224</v>
      </c>
      <c r="C58" s="173" t="s">
        <v>93</v>
      </c>
      <c r="D58" s="173" t="s">
        <v>93</v>
      </c>
      <c r="E58" s="173" t="s">
        <v>93</v>
      </c>
      <c r="F58" s="173" t="s">
        <v>93</v>
      </c>
      <c r="G58" s="303"/>
      <c r="H58" s="303"/>
      <c r="I58" s="303"/>
      <c r="J58" s="303"/>
    </row>
    <row r="59" spans="1:10" ht="15.75">
      <c r="A59" s="164">
        <v>42</v>
      </c>
      <c r="B59" s="89" t="s">
        <v>225</v>
      </c>
      <c r="C59" s="173" t="s">
        <v>93</v>
      </c>
      <c r="D59" s="173" t="s">
        <v>93</v>
      </c>
      <c r="E59" s="173" t="s">
        <v>93</v>
      </c>
      <c r="F59" s="173" t="s">
        <v>93</v>
      </c>
      <c r="G59" s="185">
        <v>9337</v>
      </c>
      <c r="H59" s="185">
        <v>9337</v>
      </c>
      <c r="I59" s="185">
        <v>1</v>
      </c>
      <c r="J59" s="185">
        <v>1</v>
      </c>
    </row>
    <row r="60" spans="1:10" ht="15.75">
      <c r="A60" s="164">
        <v>43</v>
      </c>
      <c r="B60" s="89" t="s">
        <v>226</v>
      </c>
      <c r="C60" s="173" t="s">
        <v>93</v>
      </c>
      <c r="D60" s="173" t="s">
        <v>93</v>
      </c>
      <c r="E60" s="173" t="s">
        <v>93</v>
      </c>
      <c r="F60" s="173" t="s">
        <v>93</v>
      </c>
      <c r="G60" s="185">
        <v>9487</v>
      </c>
      <c r="H60" s="185">
        <v>9487</v>
      </c>
      <c r="I60" s="360">
        <v>0</v>
      </c>
      <c r="J60" s="360">
        <v>0</v>
      </c>
    </row>
    <row r="61" spans="1:10" ht="15.75">
      <c r="A61" s="164">
        <v>44</v>
      </c>
      <c r="B61" s="89" t="s">
        <v>227</v>
      </c>
      <c r="C61" s="173" t="s">
        <v>93</v>
      </c>
      <c r="D61" s="173" t="s">
        <v>93</v>
      </c>
      <c r="E61" s="173" t="s">
        <v>93</v>
      </c>
      <c r="F61" s="173" t="s">
        <v>93</v>
      </c>
      <c r="G61" s="185">
        <v>11694</v>
      </c>
      <c r="H61" s="185">
        <v>11691</v>
      </c>
      <c r="I61" s="185">
        <v>5</v>
      </c>
      <c r="J61" s="185">
        <v>5</v>
      </c>
    </row>
    <row r="62" spans="1:10" s="95" customFormat="1" ht="15.75">
      <c r="A62" s="164">
        <v>45</v>
      </c>
      <c r="B62" s="89" t="s">
        <v>233</v>
      </c>
      <c r="C62" s="173" t="s">
        <v>93</v>
      </c>
      <c r="D62" s="173" t="s">
        <v>93</v>
      </c>
      <c r="E62" s="173" t="s">
        <v>93</v>
      </c>
      <c r="F62" s="173" t="s">
        <v>93</v>
      </c>
      <c r="G62" s="185">
        <v>22213</v>
      </c>
      <c r="H62" s="185">
        <v>22213</v>
      </c>
      <c r="I62" s="360">
        <v>0</v>
      </c>
      <c r="J62" s="360">
        <v>0</v>
      </c>
    </row>
    <row r="63" spans="1:10" s="95" customFormat="1" ht="15.75">
      <c r="A63" s="164">
        <v>46</v>
      </c>
      <c r="B63" s="89" t="s">
        <v>234</v>
      </c>
      <c r="C63" s="173" t="s">
        <v>93</v>
      </c>
      <c r="D63" s="173" t="s">
        <v>93</v>
      </c>
      <c r="E63" s="173" t="s">
        <v>93</v>
      </c>
      <c r="F63" s="173" t="s">
        <v>93</v>
      </c>
      <c r="G63" s="185">
        <v>17856</v>
      </c>
      <c r="H63" s="185">
        <v>17848</v>
      </c>
      <c r="I63" s="185">
        <v>52</v>
      </c>
      <c r="J63" s="185">
        <v>52</v>
      </c>
    </row>
    <row r="64" spans="1:10" s="95" customFormat="1" ht="15.75">
      <c r="A64" s="164">
        <v>47</v>
      </c>
      <c r="B64" s="89" t="s">
        <v>235</v>
      </c>
      <c r="C64" s="173" t="s">
        <v>93</v>
      </c>
      <c r="D64" s="173" t="s">
        <v>93</v>
      </c>
      <c r="E64" s="173" t="s">
        <v>93</v>
      </c>
      <c r="F64" s="173" t="s">
        <v>93</v>
      </c>
      <c r="G64" s="185">
        <v>13817</v>
      </c>
      <c r="H64" s="185">
        <v>13817</v>
      </c>
      <c r="I64" s="185">
        <v>32</v>
      </c>
      <c r="J64" s="185">
        <v>32</v>
      </c>
    </row>
    <row r="65" spans="1:10" s="95" customFormat="1" ht="15.75">
      <c r="A65" s="164">
        <v>48</v>
      </c>
      <c r="B65" s="89" t="s">
        <v>236</v>
      </c>
      <c r="C65" s="173" t="s">
        <v>93</v>
      </c>
      <c r="D65" s="173" t="s">
        <v>93</v>
      </c>
      <c r="E65" s="173" t="s">
        <v>93</v>
      </c>
      <c r="F65" s="173" t="s">
        <v>93</v>
      </c>
      <c r="G65" s="185">
        <v>9238</v>
      </c>
      <c r="H65" s="185">
        <v>9238</v>
      </c>
      <c r="I65" s="185">
        <v>4</v>
      </c>
      <c r="J65" s="185">
        <v>4</v>
      </c>
    </row>
    <row r="66" spans="1:10" s="95" customFormat="1" ht="15.75">
      <c r="A66" s="164">
        <v>49</v>
      </c>
      <c r="B66" s="89" t="s">
        <v>237</v>
      </c>
      <c r="C66" s="173" t="s">
        <v>93</v>
      </c>
      <c r="D66" s="173" t="s">
        <v>93</v>
      </c>
      <c r="E66" s="173" t="s">
        <v>93</v>
      </c>
      <c r="F66" s="173" t="s">
        <v>93</v>
      </c>
      <c r="G66" s="185">
        <v>17895</v>
      </c>
      <c r="H66" s="185">
        <v>17879</v>
      </c>
      <c r="I66" s="185">
        <v>5</v>
      </c>
      <c r="J66" s="185">
        <v>5</v>
      </c>
    </row>
    <row r="67" spans="1:10" s="95" customFormat="1" ht="15.75">
      <c r="A67" s="164">
        <v>50</v>
      </c>
      <c r="B67" s="89" t="s">
        <v>238</v>
      </c>
      <c r="C67" s="173" t="s">
        <v>93</v>
      </c>
      <c r="D67" s="173" t="s">
        <v>93</v>
      </c>
      <c r="E67" s="173" t="s">
        <v>93</v>
      </c>
      <c r="F67" s="173" t="s">
        <v>93</v>
      </c>
      <c r="G67" s="185">
        <v>21110</v>
      </c>
      <c r="H67" s="185">
        <v>21110</v>
      </c>
      <c r="I67" s="185">
        <v>17</v>
      </c>
      <c r="J67" s="185">
        <v>17</v>
      </c>
    </row>
    <row r="68" spans="1:10" s="95" customFormat="1" ht="15.75">
      <c r="A68" s="164">
        <v>51</v>
      </c>
      <c r="B68" s="89" t="s">
        <v>239</v>
      </c>
      <c r="C68" s="173" t="s">
        <v>93</v>
      </c>
      <c r="D68" s="173" t="s">
        <v>93</v>
      </c>
      <c r="E68" s="173" t="s">
        <v>93</v>
      </c>
      <c r="F68" s="173" t="s">
        <v>93</v>
      </c>
      <c r="G68" s="185">
        <v>10610</v>
      </c>
      <c r="H68" s="185">
        <v>10610</v>
      </c>
      <c r="I68" s="360">
        <v>0</v>
      </c>
      <c r="J68" s="360">
        <v>0</v>
      </c>
    </row>
    <row r="69" spans="1:10" s="95" customFormat="1" ht="15.75">
      <c r="A69" s="164">
        <v>52</v>
      </c>
      <c r="B69" s="89" t="s">
        <v>240</v>
      </c>
      <c r="C69" s="173" t="s">
        <v>93</v>
      </c>
      <c r="D69" s="173" t="s">
        <v>93</v>
      </c>
      <c r="E69" s="173" t="s">
        <v>93</v>
      </c>
      <c r="F69" s="173" t="s">
        <v>93</v>
      </c>
      <c r="G69" s="185">
        <v>50632</v>
      </c>
      <c r="H69" s="185">
        <v>50630</v>
      </c>
      <c r="I69" s="185">
        <v>7</v>
      </c>
      <c r="J69" s="185">
        <v>7</v>
      </c>
    </row>
    <row r="70" spans="1:10" s="103" customFormat="1" ht="15.75">
      <c r="A70" s="164">
        <v>53</v>
      </c>
      <c r="B70" s="89" t="s">
        <v>241</v>
      </c>
      <c r="C70" s="173" t="s">
        <v>93</v>
      </c>
      <c r="D70" s="173" t="s">
        <v>93</v>
      </c>
      <c r="E70" s="173" t="s">
        <v>93</v>
      </c>
      <c r="F70" s="173" t="s">
        <v>93</v>
      </c>
      <c r="G70" s="185">
        <v>14755</v>
      </c>
      <c r="H70" s="185">
        <v>14755</v>
      </c>
      <c r="I70" s="185"/>
      <c r="J70" s="185"/>
    </row>
    <row r="71" spans="1:10" s="95" customFormat="1" ht="15.75">
      <c r="A71" s="164">
        <v>54</v>
      </c>
      <c r="B71" s="89" t="s">
        <v>242</v>
      </c>
      <c r="C71" s="173" t="s">
        <v>93</v>
      </c>
      <c r="D71" s="173" t="s">
        <v>93</v>
      </c>
      <c r="E71" s="173" t="s">
        <v>93</v>
      </c>
      <c r="F71" s="173" t="s">
        <v>93</v>
      </c>
      <c r="G71" s="360">
        <v>0</v>
      </c>
      <c r="H71" s="360">
        <v>0</v>
      </c>
      <c r="I71" s="360">
        <v>0</v>
      </c>
      <c r="J71" s="360">
        <v>0</v>
      </c>
    </row>
    <row r="72" spans="1:10" s="95" customFormat="1" ht="15.75">
      <c r="A72" s="164">
        <v>55</v>
      </c>
      <c r="B72" s="89" t="s">
        <v>243</v>
      </c>
      <c r="C72" s="173" t="s">
        <v>93</v>
      </c>
      <c r="D72" s="173" t="s">
        <v>93</v>
      </c>
      <c r="E72" s="173" t="s">
        <v>93</v>
      </c>
      <c r="F72" s="173" t="s">
        <v>93</v>
      </c>
      <c r="G72" s="185">
        <v>26454</v>
      </c>
      <c r="H72" s="185">
        <v>26454</v>
      </c>
      <c r="I72" s="185">
        <v>3</v>
      </c>
      <c r="J72" s="185">
        <v>3</v>
      </c>
    </row>
    <row r="73" spans="1:10" s="95" customFormat="1" ht="15.75">
      <c r="A73" s="164">
        <v>56</v>
      </c>
      <c r="B73" s="89" t="s">
        <v>244</v>
      </c>
      <c r="C73" s="173" t="s">
        <v>93</v>
      </c>
      <c r="D73" s="173" t="s">
        <v>93</v>
      </c>
      <c r="E73" s="173" t="s">
        <v>93</v>
      </c>
      <c r="F73" s="173" t="s">
        <v>93</v>
      </c>
      <c r="G73" s="185">
        <v>11239</v>
      </c>
      <c r="H73" s="185">
        <v>11239</v>
      </c>
      <c r="I73" s="185">
        <v>1</v>
      </c>
      <c r="J73" s="185">
        <v>1</v>
      </c>
    </row>
    <row r="74" spans="1:10" s="95" customFormat="1" ht="15.75">
      <c r="A74" s="164">
        <v>57</v>
      </c>
      <c r="B74" s="89" t="s">
        <v>245</v>
      </c>
      <c r="C74" s="173" t="s">
        <v>93</v>
      </c>
      <c r="D74" s="173" t="s">
        <v>93</v>
      </c>
      <c r="E74" s="173" t="s">
        <v>93</v>
      </c>
      <c r="F74" s="173" t="s">
        <v>93</v>
      </c>
      <c r="G74" s="185">
        <v>29960</v>
      </c>
      <c r="H74" s="185">
        <v>29960</v>
      </c>
      <c r="I74" s="185">
        <v>39</v>
      </c>
      <c r="J74" s="185">
        <v>39</v>
      </c>
    </row>
    <row r="75" spans="1:10" s="95" customFormat="1" ht="15.75">
      <c r="A75" s="164">
        <v>58</v>
      </c>
      <c r="B75" s="89" t="s">
        <v>246</v>
      </c>
      <c r="C75" s="173" t="s">
        <v>93</v>
      </c>
      <c r="D75" s="173" t="s">
        <v>93</v>
      </c>
      <c r="E75" s="173" t="s">
        <v>93</v>
      </c>
      <c r="F75" s="173" t="s">
        <v>93</v>
      </c>
      <c r="G75" s="185">
        <v>76201</v>
      </c>
      <c r="H75" s="185">
        <v>63614</v>
      </c>
      <c r="I75" s="185">
        <v>502</v>
      </c>
      <c r="J75" s="185">
        <v>406</v>
      </c>
    </row>
    <row r="76" spans="1:10" s="95" customFormat="1" ht="15.75">
      <c r="A76" s="164">
        <v>59</v>
      </c>
      <c r="B76" s="89" t="s">
        <v>247</v>
      </c>
      <c r="C76" s="173" t="s">
        <v>93</v>
      </c>
      <c r="D76" s="173" t="s">
        <v>93</v>
      </c>
      <c r="E76" s="173" t="s">
        <v>93</v>
      </c>
      <c r="F76" s="173" t="s">
        <v>93</v>
      </c>
      <c r="G76" s="185">
        <v>57</v>
      </c>
      <c r="H76" s="185">
        <v>57</v>
      </c>
      <c r="I76" s="360">
        <v>0</v>
      </c>
      <c r="J76" s="360">
        <v>0</v>
      </c>
    </row>
    <row r="77" spans="1:10" s="95" customFormat="1" ht="15.75">
      <c r="A77" s="164">
        <v>60</v>
      </c>
      <c r="B77" s="89" t="s">
        <v>248</v>
      </c>
      <c r="C77" s="173" t="s">
        <v>93</v>
      </c>
      <c r="D77" s="173" t="s">
        <v>93</v>
      </c>
      <c r="E77" s="173" t="s">
        <v>93</v>
      </c>
      <c r="F77" s="173" t="s">
        <v>93</v>
      </c>
      <c r="G77" s="185">
        <v>3160</v>
      </c>
      <c r="H77" s="185">
        <v>3160</v>
      </c>
      <c r="I77" s="185">
        <v>1382</v>
      </c>
      <c r="J77" s="185">
        <v>1382</v>
      </c>
    </row>
    <row r="78" spans="1:10" s="95" customFormat="1" ht="15.75">
      <c r="A78" s="164">
        <v>61</v>
      </c>
      <c r="B78" s="89" t="s">
        <v>249</v>
      </c>
      <c r="C78" s="173" t="s">
        <v>93</v>
      </c>
      <c r="D78" s="173" t="s">
        <v>93</v>
      </c>
      <c r="E78" s="173" t="s">
        <v>93</v>
      </c>
      <c r="F78" s="173" t="s">
        <v>93</v>
      </c>
      <c r="G78" s="185">
        <v>11244</v>
      </c>
      <c r="H78" s="185">
        <v>11244</v>
      </c>
      <c r="I78" s="185">
        <v>3</v>
      </c>
      <c r="J78" s="185">
        <v>3</v>
      </c>
    </row>
    <row r="79" spans="1:10" s="95" customFormat="1" ht="15.75">
      <c r="A79" s="164">
        <v>62</v>
      </c>
      <c r="B79" s="89" t="s">
        <v>250</v>
      </c>
      <c r="C79" s="173" t="s">
        <v>93</v>
      </c>
      <c r="D79" s="173" t="s">
        <v>93</v>
      </c>
      <c r="E79" s="173" t="s">
        <v>93</v>
      </c>
      <c r="F79" s="173" t="s">
        <v>93</v>
      </c>
      <c r="G79" s="303"/>
      <c r="H79" s="303"/>
      <c r="I79" s="303"/>
      <c r="J79" s="303"/>
    </row>
    <row r="80" spans="1:10" s="95" customFormat="1" ht="15.75">
      <c r="A80" s="164">
        <v>63</v>
      </c>
      <c r="B80" s="89" t="s">
        <v>251</v>
      </c>
      <c r="C80" s="173" t="s">
        <v>93</v>
      </c>
      <c r="D80" s="173" t="s">
        <v>93</v>
      </c>
      <c r="E80" s="173" t="s">
        <v>93</v>
      </c>
      <c r="F80" s="173" t="s">
        <v>93</v>
      </c>
      <c r="G80" s="185">
        <v>9541</v>
      </c>
      <c r="H80" s="185">
        <v>9541</v>
      </c>
      <c r="I80" s="185"/>
      <c r="J80" s="185"/>
    </row>
    <row r="81" spans="1:20" s="153" customFormat="1" ht="12.75">
      <c r="A81" s="43"/>
      <c r="B81" s="43"/>
      <c r="C81" s="32"/>
      <c r="D81" s="43"/>
      <c r="E81" s="43"/>
      <c r="F81" s="43"/>
      <c r="G81" s="43"/>
      <c r="H81" s="43"/>
      <c r="I81" s="43"/>
      <c r="J81" s="43"/>
      <c r="K81" s="151"/>
      <c r="L81" s="43"/>
      <c r="M81" s="43"/>
      <c r="N81" s="43"/>
      <c r="O81" s="43"/>
      <c r="P81" s="43"/>
      <c r="Q81" s="43"/>
      <c r="R81" s="43"/>
      <c r="S81" s="152"/>
      <c r="T81" s="152"/>
    </row>
    <row r="82" spans="1:19" s="153" customFormat="1" ht="12.75">
      <c r="A82" s="43"/>
      <c r="B82" s="43" t="s">
        <v>254</v>
      </c>
      <c r="C82" s="32" t="s">
        <v>311</v>
      </c>
      <c r="D82" s="43"/>
      <c r="E82" s="43"/>
      <c r="F82" s="43"/>
      <c r="G82" s="43"/>
      <c r="H82" s="43"/>
      <c r="I82" s="43"/>
      <c r="J82" s="43"/>
      <c r="K82" s="151"/>
      <c r="L82" s="43"/>
      <c r="M82" s="43"/>
      <c r="N82" s="43"/>
      <c r="O82" s="43"/>
      <c r="P82" s="43"/>
      <c r="Q82" s="43"/>
      <c r="R82" s="43"/>
      <c r="S82" s="152"/>
    </row>
    <row r="83" spans="1:19" s="153" customFormat="1" ht="12.75">
      <c r="A83" s="43"/>
      <c r="B83" s="43" t="s">
        <v>313</v>
      </c>
      <c r="C83" s="32"/>
      <c r="D83" s="43"/>
      <c r="E83" s="43"/>
      <c r="F83" s="43"/>
      <c r="G83" s="43"/>
      <c r="H83" s="43"/>
      <c r="I83" s="43"/>
      <c r="J83" s="43"/>
      <c r="K83" s="151"/>
      <c r="L83" s="43"/>
      <c r="M83" s="43"/>
      <c r="N83" s="43"/>
      <c r="O83" s="43"/>
      <c r="P83" s="43"/>
      <c r="Q83" s="43"/>
      <c r="R83" s="43"/>
      <c r="S83" s="152"/>
    </row>
    <row r="84" spans="1:18" s="150" customFormat="1" ht="12.75">
      <c r="A84" s="43"/>
      <c r="B84" s="43" t="s">
        <v>290</v>
      </c>
      <c r="C84" s="43" t="s">
        <v>291</v>
      </c>
      <c r="E84" s="43"/>
      <c r="F84" s="43"/>
      <c r="G84" s="43"/>
      <c r="H84" s="43"/>
      <c r="I84" s="43"/>
      <c r="J84" s="43"/>
      <c r="K84" s="151"/>
      <c r="L84" s="43"/>
      <c r="M84" s="43"/>
      <c r="N84" s="43"/>
      <c r="O84" s="43"/>
      <c r="P84" s="43"/>
      <c r="Q84" s="43"/>
      <c r="R84" s="43"/>
    </row>
    <row r="85" spans="1:17" s="150" customFormat="1" ht="12.75">
      <c r="A85" s="43"/>
      <c r="B85" s="156"/>
      <c r="C85" s="156" t="s">
        <v>281</v>
      </c>
      <c r="D85" s="157"/>
      <c r="E85" s="156"/>
      <c r="F85" s="156"/>
      <c r="G85" s="156"/>
      <c r="H85" s="156"/>
      <c r="I85" s="156"/>
      <c r="J85" s="156"/>
      <c r="K85" s="151"/>
      <c r="L85" s="43"/>
      <c r="M85" s="43"/>
      <c r="N85" s="43"/>
      <c r="O85" s="43"/>
      <c r="P85" s="43"/>
      <c r="Q85" s="43"/>
    </row>
    <row r="86" spans="1:17" s="150" customFormat="1" ht="12.75">
      <c r="A86" s="43"/>
      <c r="B86" s="227"/>
      <c r="C86" s="43" t="s">
        <v>258</v>
      </c>
      <c r="E86" s="43"/>
      <c r="F86" s="43"/>
      <c r="G86" s="43"/>
      <c r="H86" s="43"/>
      <c r="I86" s="43"/>
      <c r="J86" s="43"/>
      <c r="K86" s="151"/>
      <c r="L86" s="43"/>
      <c r="M86" s="43"/>
      <c r="N86" s="43"/>
      <c r="O86" s="43"/>
      <c r="P86" s="43"/>
      <c r="Q86" s="43"/>
    </row>
    <row r="87" spans="1:17" s="150" customFormat="1" ht="12.75">
      <c r="A87" s="43"/>
      <c r="B87" s="251"/>
      <c r="C87" s="43" t="s">
        <v>285</v>
      </c>
      <c r="D87" s="43"/>
      <c r="E87" s="43"/>
      <c r="F87" s="43"/>
      <c r="G87" s="43"/>
      <c r="H87" s="43"/>
      <c r="I87" s="43"/>
      <c r="J87" s="43"/>
      <c r="K87" s="43"/>
      <c r="L87" s="43"/>
      <c r="M87" s="43"/>
      <c r="N87" s="43"/>
      <c r="O87" s="43"/>
      <c r="P87" s="43"/>
      <c r="Q87" s="43"/>
    </row>
    <row r="88" spans="1:17" s="150" customFormat="1" ht="12.75">
      <c r="A88" s="43"/>
      <c r="B88" s="228"/>
      <c r="C88" s="43" t="s">
        <v>286</v>
      </c>
      <c r="D88" s="43"/>
      <c r="E88" s="43"/>
      <c r="F88" s="43"/>
      <c r="G88" s="43"/>
      <c r="H88" s="43"/>
      <c r="I88" s="43"/>
      <c r="J88" s="43"/>
      <c r="K88" s="43"/>
      <c r="L88" s="43"/>
      <c r="M88" s="43"/>
      <c r="N88" s="43"/>
      <c r="O88" s="43"/>
      <c r="P88" s="43"/>
      <c r="Q88" s="43"/>
    </row>
    <row r="89" spans="2:17" s="5" customFormat="1" ht="12.75">
      <c r="B89" s="252"/>
      <c r="C89" s="43" t="s">
        <v>288</v>
      </c>
      <c r="L89" s="16"/>
      <c r="Q89"/>
    </row>
    <row r="117" ht="22.5" customHeight="1"/>
  </sheetData>
  <sheetProtection/>
  <mergeCells count="13">
    <mergeCell ref="A1:B1"/>
    <mergeCell ref="A2:J2"/>
    <mergeCell ref="A3:J3"/>
    <mergeCell ref="A4:J4"/>
    <mergeCell ref="E6:F6"/>
    <mergeCell ref="C6:D6"/>
    <mergeCell ref="A14:B14"/>
    <mergeCell ref="A6:B7"/>
    <mergeCell ref="A8:B8"/>
    <mergeCell ref="A10:B10"/>
    <mergeCell ref="A9:B9"/>
    <mergeCell ref="I6:J6"/>
    <mergeCell ref="G6:H6"/>
  </mergeCells>
  <printOptions/>
  <pageMargins left="1" right="0.5" top="0.75" bottom="0.5" header="0" footer="0"/>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S108"/>
  <sheetViews>
    <sheetView zoomScalePageLayoutView="0" workbookViewId="0" topLeftCell="A1">
      <selection activeCell="A4" sqref="A4:P4"/>
    </sheetView>
  </sheetViews>
  <sheetFormatPr defaultColWidth="9.140625" defaultRowHeight="12.75"/>
  <cols>
    <col min="1" max="1" width="4.7109375" style="0" customWidth="1"/>
    <col min="2" max="2" width="17.8515625" style="0" customWidth="1"/>
    <col min="3" max="3" width="5.57421875" style="0" customWidth="1"/>
    <col min="4" max="4" width="6.28125" style="0" customWidth="1"/>
    <col min="5" max="5" width="5.28125" style="0" customWidth="1"/>
    <col min="6" max="6" width="9.28125" style="0" bestFit="1" customWidth="1"/>
    <col min="7" max="7" width="5.57421875" style="0" customWidth="1"/>
    <col min="8" max="8" width="7.7109375" style="0" customWidth="1"/>
    <col min="9" max="9" width="5.57421875" style="0" customWidth="1"/>
    <col min="10" max="10" width="9.8515625" style="0" customWidth="1"/>
    <col min="11" max="11" width="5.7109375" style="0" customWidth="1"/>
    <col min="12" max="12" width="9.28125" style="0" bestFit="1" customWidth="1"/>
    <col min="13" max="13" width="5.421875" style="0" customWidth="1"/>
    <col min="14" max="14" width="8.00390625" style="0" customWidth="1"/>
    <col min="15" max="15" width="13.421875" style="202" customWidth="1"/>
    <col min="16" max="16" width="16.421875" style="202" customWidth="1"/>
  </cols>
  <sheetData>
    <row r="1" spans="2:16" s="70" customFormat="1" ht="18.75">
      <c r="B1" s="40" t="s">
        <v>7</v>
      </c>
      <c r="C1" s="40"/>
      <c r="D1" s="40"/>
      <c r="F1" s="46"/>
      <c r="O1" s="289"/>
      <c r="P1" s="289"/>
    </row>
    <row r="2" spans="4:16" s="70" customFormat="1" ht="18.75">
      <c r="D2" s="41"/>
      <c r="E2" s="41"/>
      <c r="F2" s="41"/>
      <c r="G2" s="41"/>
      <c r="I2" s="41" t="s">
        <v>135</v>
      </c>
      <c r="K2" s="41"/>
      <c r="L2" s="41"/>
      <c r="O2" s="289"/>
      <c r="P2" s="289"/>
    </row>
    <row r="3" spans="1:16" s="70" customFormat="1" ht="18.75">
      <c r="A3" s="483" t="s">
        <v>151</v>
      </c>
      <c r="B3" s="483"/>
      <c r="C3" s="483"/>
      <c r="D3" s="483"/>
      <c r="E3" s="483"/>
      <c r="F3" s="483"/>
      <c r="G3" s="483"/>
      <c r="H3" s="483"/>
      <c r="I3" s="483"/>
      <c r="J3" s="483"/>
      <c r="K3" s="483"/>
      <c r="L3" s="483"/>
      <c r="M3" s="483"/>
      <c r="N3" s="483"/>
      <c r="O3" s="483"/>
      <c r="P3" s="483"/>
    </row>
    <row r="4" spans="1:16" s="70" customFormat="1" ht="18.75">
      <c r="A4" s="438" t="s">
        <v>315</v>
      </c>
      <c r="B4" s="438"/>
      <c r="C4" s="438"/>
      <c r="D4" s="438"/>
      <c r="E4" s="438"/>
      <c r="F4" s="438"/>
      <c r="G4" s="438"/>
      <c r="H4" s="438"/>
      <c r="I4" s="438"/>
      <c r="J4" s="438"/>
      <c r="K4" s="438"/>
      <c r="L4" s="438"/>
      <c r="M4" s="438"/>
      <c r="N4" s="438"/>
      <c r="O4" s="438"/>
      <c r="P4" s="438"/>
    </row>
    <row r="8" spans="1:16" s="84" customFormat="1" ht="15" customHeight="1">
      <c r="A8" s="564"/>
      <c r="B8" s="564"/>
      <c r="C8" s="548" t="s">
        <v>116</v>
      </c>
      <c r="D8" s="550"/>
      <c r="E8" s="550"/>
      <c r="F8" s="550"/>
      <c r="G8" s="550"/>
      <c r="H8" s="550"/>
      <c r="I8" s="550"/>
      <c r="J8" s="550"/>
      <c r="K8" s="550"/>
      <c r="L8" s="550"/>
      <c r="M8" s="550"/>
      <c r="N8" s="549"/>
      <c r="O8" s="556" t="s">
        <v>117</v>
      </c>
      <c r="P8" s="557"/>
    </row>
    <row r="9" spans="1:16" s="84" customFormat="1" ht="23.25" customHeight="1">
      <c r="A9" s="565"/>
      <c r="B9" s="565"/>
      <c r="C9" s="553" t="s">
        <v>125</v>
      </c>
      <c r="D9" s="553" t="s">
        <v>126</v>
      </c>
      <c r="E9" s="548" t="s">
        <v>124</v>
      </c>
      <c r="F9" s="550"/>
      <c r="G9" s="550"/>
      <c r="H9" s="549"/>
      <c r="I9" s="548" t="s">
        <v>118</v>
      </c>
      <c r="J9" s="550"/>
      <c r="K9" s="550"/>
      <c r="L9" s="550"/>
      <c r="M9" s="550"/>
      <c r="N9" s="549"/>
      <c r="O9" s="558"/>
      <c r="P9" s="559"/>
    </row>
    <row r="10" spans="1:16" s="84" customFormat="1" ht="89.25" customHeight="1">
      <c r="A10" s="565"/>
      <c r="B10" s="565"/>
      <c r="C10" s="554"/>
      <c r="D10" s="554"/>
      <c r="E10" s="548" t="s">
        <v>119</v>
      </c>
      <c r="F10" s="549"/>
      <c r="G10" s="548" t="s">
        <v>120</v>
      </c>
      <c r="H10" s="549"/>
      <c r="I10" s="546" t="s">
        <v>121</v>
      </c>
      <c r="J10" s="547"/>
      <c r="K10" s="548" t="s">
        <v>122</v>
      </c>
      <c r="L10" s="549"/>
      <c r="M10" s="548" t="s">
        <v>123</v>
      </c>
      <c r="N10" s="549"/>
      <c r="O10" s="560"/>
      <c r="P10" s="561"/>
    </row>
    <row r="11" spans="1:16" s="84" customFormat="1" ht="63" customHeight="1">
      <c r="A11" s="565"/>
      <c r="B11" s="565"/>
      <c r="C11" s="555"/>
      <c r="D11" s="555"/>
      <c r="E11" s="85" t="s">
        <v>125</v>
      </c>
      <c r="F11" s="85" t="s">
        <v>126</v>
      </c>
      <c r="G11" s="85" t="s">
        <v>125</v>
      </c>
      <c r="H11" s="85" t="s">
        <v>126</v>
      </c>
      <c r="I11" s="85" t="s">
        <v>125</v>
      </c>
      <c r="J11" s="85" t="s">
        <v>126</v>
      </c>
      <c r="K11" s="85" t="s">
        <v>125</v>
      </c>
      <c r="L11" s="85" t="s">
        <v>126</v>
      </c>
      <c r="M11" s="85" t="s">
        <v>125</v>
      </c>
      <c r="N11" s="85" t="s">
        <v>126</v>
      </c>
      <c r="O11" s="290" t="s">
        <v>125</v>
      </c>
      <c r="P11" s="290" t="s">
        <v>126</v>
      </c>
    </row>
    <row r="12" spans="1:16" s="87" customFormat="1" ht="12.75">
      <c r="A12" s="562" t="s">
        <v>40</v>
      </c>
      <c r="B12" s="563"/>
      <c r="C12" s="86">
        <v>1</v>
      </c>
      <c r="D12" s="86">
        <v>2</v>
      </c>
      <c r="E12" s="86">
        <v>3</v>
      </c>
      <c r="F12" s="86">
        <v>4</v>
      </c>
      <c r="G12" s="86">
        <v>5</v>
      </c>
      <c r="H12" s="86">
        <v>6</v>
      </c>
      <c r="I12" s="86">
        <v>7</v>
      </c>
      <c r="J12" s="86">
        <v>8</v>
      </c>
      <c r="K12" s="86">
        <v>9</v>
      </c>
      <c r="L12" s="86">
        <v>10</v>
      </c>
      <c r="M12" s="86">
        <v>11</v>
      </c>
      <c r="N12" s="86">
        <v>12</v>
      </c>
      <c r="O12" s="86">
        <v>13</v>
      </c>
      <c r="P12" s="86">
        <v>14</v>
      </c>
    </row>
    <row r="13" spans="1:16" ht="42.75" customHeight="1">
      <c r="A13" s="551" t="s">
        <v>97</v>
      </c>
      <c r="B13" s="552"/>
      <c r="C13" s="106">
        <f aca="true" t="shared" si="0" ref="C13:P13">C14+C35</f>
        <v>31</v>
      </c>
      <c r="D13" s="106">
        <f t="shared" si="0"/>
        <v>14</v>
      </c>
      <c r="E13" s="106">
        <f t="shared" si="0"/>
        <v>24</v>
      </c>
      <c r="F13" s="106">
        <f t="shared" si="0"/>
        <v>12</v>
      </c>
      <c r="G13" s="106">
        <f t="shared" si="0"/>
        <v>4</v>
      </c>
      <c r="H13" s="375">
        <f t="shared" si="0"/>
        <v>0</v>
      </c>
      <c r="I13" s="375">
        <f t="shared" si="0"/>
        <v>0</v>
      </c>
      <c r="J13" s="375">
        <f t="shared" si="0"/>
        <v>0</v>
      </c>
      <c r="K13" s="154">
        <f t="shared" si="0"/>
        <v>10</v>
      </c>
      <c r="L13" s="154">
        <f t="shared" si="0"/>
        <v>5</v>
      </c>
      <c r="M13" s="106">
        <f t="shared" si="0"/>
        <v>19</v>
      </c>
      <c r="N13" s="106">
        <f t="shared" si="0"/>
        <v>9</v>
      </c>
      <c r="O13" s="106">
        <f t="shared" si="0"/>
        <v>32158680.200999998</v>
      </c>
      <c r="P13" s="106">
        <f t="shared" si="0"/>
        <v>6358044319.201</v>
      </c>
    </row>
    <row r="14" spans="1:16" ht="28.5" customHeight="1">
      <c r="A14" s="544" t="s">
        <v>87</v>
      </c>
      <c r="B14" s="545"/>
      <c r="C14" s="107">
        <f aca="true" t="shared" si="1" ref="C14:P14">SUM(C15:C34)</f>
        <v>6</v>
      </c>
      <c r="D14" s="343">
        <f t="shared" si="1"/>
        <v>2</v>
      </c>
      <c r="E14" s="107">
        <f t="shared" si="1"/>
        <v>1</v>
      </c>
      <c r="F14" s="343">
        <f t="shared" si="1"/>
        <v>0</v>
      </c>
      <c r="G14" s="107">
        <f t="shared" si="1"/>
        <v>2</v>
      </c>
      <c r="H14" s="343">
        <f t="shared" si="1"/>
        <v>0</v>
      </c>
      <c r="I14" s="343">
        <f t="shared" si="1"/>
        <v>0</v>
      </c>
      <c r="J14" s="343">
        <f t="shared" si="1"/>
        <v>0</v>
      </c>
      <c r="K14" s="343">
        <f t="shared" si="1"/>
        <v>0</v>
      </c>
      <c r="L14" s="343">
        <f t="shared" si="1"/>
        <v>0</v>
      </c>
      <c r="M14" s="107">
        <f t="shared" si="1"/>
        <v>5</v>
      </c>
      <c r="N14" s="107">
        <f t="shared" si="1"/>
        <v>2</v>
      </c>
      <c r="O14" s="107">
        <f t="shared" si="1"/>
        <v>773855</v>
      </c>
      <c r="P14" s="107">
        <f t="shared" si="1"/>
        <v>773855</v>
      </c>
    </row>
    <row r="15" spans="1:16" ht="15.75">
      <c r="A15" s="161">
        <v>1</v>
      </c>
      <c r="B15" s="92" t="s">
        <v>265</v>
      </c>
      <c r="C15" s="112">
        <f>M15</f>
        <v>3</v>
      </c>
      <c r="D15" s="113">
        <f>N15</f>
        <v>2</v>
      </c>
      <c r="E15" s="94"/>
      <c r="F15" s="94"/>
      <c r="G15" s="94"/>
      <c r="H15" s="94"/>
      <c r="I15" s="94"/>
      <c r="J15" s="94"/>
      <c r="K15" s="94"/>
      <c r="L15" s="94"/>
      <c r="M15" s="94">
        <v>3</v>
      </c>
      <c r="N15" s="94">
        <v>2</v>
      </c>
      <c r="O15" s="94">
        <v>773855</v>
      </c>
      <c r="P15" s="94">
        <v>773855</v>
      </c>
    </row>
    <row r="16" spans="1:16" ht="15.75">
      <c r="A16" s="161">
        <v>2</v>
      </c>
      <c r="B16" s="92" t="s">
        <v>193</v>
      </c>
      <c r="C16" s="112"/>
      <c r="D16" s="113"/>
      <c r="E16" s="94"/>
      <c r="F16" s="94"/>
      <c r="G16" s="94"/>
      <c r="H16" s="94"/>
      <c r="I16" s="94"/>
      <c r="J16" s="94"/>
      <c r="K16" s="94"/>
      <c r="L16" s="94"/>
      <c r="M16" s="94"/>
      <c r="N16" s="94"/>
      <c r="O16" s="94"/>
      <c r="P16" s="94"/>
    </row>
    <row r="17" spans="1:16" ht="31.5">
      <c r="A17" s="161">
        <v>3</v>
      </c>
      <c r="B17" s="92" t="s">
        <v>194</v>
      </c>
      <c r="C17" s="112"/>
      <c r="D17" s="113"/>
      <c r="E17" s="94"/>
      <c r="F17" s="94"/>
      <c r="G17" s="94"/>
      <c r="H17" s="94"/>
      <c r="I17" s="94"/>
      <c r="J17" s="94"/>
      <c r="K17" s="94"/>
      <c r="L17" s="94"/>
      <c r="M17" s="94"/>
      <c r="N17" s="94"/>
      <c r="O17" s="94"/>
      <c r="P17" s="94"/>
    </row>
    <row r="18" spans="1:16" ht="31.5">
      <c r="A18" s="161">
        <v>4</v>
      </c>
      <c r="B18" s="92" t="s">
        <v>195</v>
      </c>
      <c r="C18" s="112"/>
      <c r="D18" s="113"/>
      <c r="E18" s="94"/>
      <c r="F18" s="94"/>
      <c r="G18" s="94"/>
      <c r="H18" s="94"/>
      <c r="I18" s="94"/>
      <c r="J18" s="94"/>
      <c r="K18" s="94"/>
      <c r="L18" s="94"/>
      <c r="M18" s="94"/>
      <c r="N18" s="94"/>
      <c r="O18" s="94"/>
      <c r="P18" s="94"/>
    </row>
    <row r="19" spans="1:16" ht="31.5">
      <c r="A19" s="161">
        <v>5</v>
      </c>
      <c r="B19" s="92" t="s">
        <v>196</v>
      </c>
      <c r="C19" s="378">
        <f>E19+G19</f>
        <v>0</v>
      </c>
      <c r="D19" s="376">
        <f>F19+H19</f>
        <v>0</v>
      </c>
      <c r="E19" s="377">
        <v>0</v>
      </c>
      <c r="F19" s="377">
        <v>0</v>
      </c>
      <c r="G19" s="377">
        <v>0</v>
      </c>
      <c r="H19" s="377">
        <v>0</v>
      </c>
      <c r="I19" s="377">
        <v>0</v>
      </c>
      <c r="J19" s="377">
        <v>0</v>
      </c>
      <c r="K19" s="377">
        <v>0</v>
      </c>
      <c r="L19" s="377">
        <v>0</v>
      </c>
      <c r="M19" s="377">
        <v>0</v>
      </c>
      <c r="N19" s="377">
        <v>0</v>
      </c>
      <c r="O19" s="377">
        <v>0</v>
      </c>
      <c r="P19" s="377">
        <v>0</v>
      </c>
    </row>
    <row r="20" spans="1:16" ht="31.5">
      <c r="A20" s="161">
        <v>6</v>
      </c>
      <c r="B20" s="92" t="s">
        <v>197</v>
      </c>
      <c r="C20" s="112"/>
      <c r="D20" s="113"/>
      <c r="E20" s="94"/>
      <c r="F20" s="94"/>
      <c r="G20" s="94"/>
      <c r="H20" s="94"/>
      <c r="I20" s="94"/>
      <c r="J20" s="94"/>
      <c r="K20" s="94"/>
      <c r="L20" s="94"/>
      <c r="M20" s="94"/>
      <c r="N20" s="94"/>
      <c r="O20" s="94"/>
      <c r="P20" s="94"/>
    </row>
    <row r="21" spans="1:16" ht="47.25">
      <c r="A21" s="161">
        <v>7</v>
      </c>
      <c r="B21" s="92" t="s">
        <v>198</v>
      </c>
      <c r="C21" s="112"/>
      <c r="D21" s="113"/>
      <c r="E21" s="94"/>
      <c r="F21" s="94"/>
      <c r="G21" s="94"/>
      <c r="H21" s="94"/>
      <c r="I21" s="94"/>
      <c r="J21" s="94"/>
      <c r="K21" s="94"/>
      <c r="L21" s="94"/>
      <c r="M21" s="94"/>
      <c r="N21" s="94"/>
      <c r="O21" s="94"/>
      <c r="P21" s="94"/>
    </row>
    <row r="22" spans="1:16" ht="15.75">
      <c r="A22" s="161">
        <v>8</v>
      </c>
      <c r="B22" s="92" t="s">
        <v>199</v>
      </c>
      <c r="C22" s="112"/>
      <c r="D22" s="113"/>
      <c r="E22" s="94"/>
      <c r="F22" s="94"/>
      <c r="G22" s="94"/>
      <c r="H22" s="94"/>
      <c r="I22" s="94"/>
      <c r="J22" s="94"/>
      <c r="K22" s="94"/>
      <c r="L22" s="94"/>
      <c r="M22" s="94"/>
      <c r="N22" s="94"/>
      <c r="O22" s="94"/>
      <c r="P22" s="94"/>
    </row>
    <row r="23" spans="1:16" ht="15.75">
      <c r="A23" s="161">
        <v>9</v>
      </c>
      <c r="B23" s="92" t="s">
        <v>200</v>
      </c>
      <c r="C23" s="112"/>
      <c r="D23" s="113"/>
      <c r="E23" s="94"/>
      <c r="F23" s="94"/>
      <c r="G23" s="94"/>
      <c r="H23" s="94"/>
      <c r="I23" s="94"/>
      <c r="J23" s="94"/>
      <c r="K23" s="94"/>
      <c r="L23" s="94"/>
      <c r="M23" s="94"/>
      <c r="N23" s="94"/>
      <c r="O23" s="94"/>
      <c r="P23" s="94"/>
    </row>
    <row r="24" spans="1:16" ht="47.25">
      <c r="A24" s="161">
        <v>10</v>
      </c>
      <c r="B24" s="92" t="s">
        <v>201</v>
      </c>
      <c r="C24" s="112"/>
      <c r="D24" s="113"/>
      <c r="E24" s="94"/>
      <c r="F24" s="94"/>
      <c r="G24" s="94"/>
      <c r="H24" s="94"/>
      <c r="I24" s="94"/>
      <c r="J24" s="94"/>
      <c r="K24" s="94"/>
      <c r="L24" s="94"/>
      <c r="M24" s="94"/>
      <c r="N24" s="94"/>
      <c r="O24" s="94"/>
      <c r="P24" s="94"/>
    </row>
    <row r="25" spans="1:16" ht="15.75">
      <c r="A25" s="161">
        <v>11</v>
      </c>
      <c r="B25" s="92" t="s">
        <v>230</v>
      </c>
      <c r="C25" s="378">
        <f>E25+G25</f>
        <v>0</v>
      </c>
      <c r="D25" s="376">
        <f>F25+H25</f>
        <v>0</v>
      </c>
      <c r="E25" s="377">
        <v>0</v>
      </c>
      <c r="F25" s="377">
        <v>0</v>
      </c>
      <c r="G25" s="377">
        <v>0</v>
      </c>
      <c r="H25" s="377">
        <v>0</v>
      </c>
      <c r="I25" s="377">
        <v>0</v>
      </c>
      <c r="J25" s="377">
        <v>0</v>
      </c>
      <c r="K25" s="377">
        <v>0</v>
      </c>
      <c r="L25" s="377">
        <v>0</v>
      </c>
      <c r="M25" s="377">
        <v>0</v>
      </c>
      <c r="N25" s="377">
        <v>0</v>
      </c>
      <c r="O25" s="377">
        <v>0</v>
      </c>
      <c r="P25" s="377">
        <v>0</v>
      </c>
    </row>
    <row r="26" spans="1:16" ht="15.75">
      <c r="A26" s="161">
        <v>12</v>
      </c>
      <c r="B26" s="91" t="s">
        <v>185</v>
      </c>
      <c r="C26" s="112">
        <f>E26+G26</f>
        <v>3</v>
      </c>
      <c r="D26" s="376">
        <f>F26+H26</f>
        <v>0</v>
      </c>
      <c r="E26" s="94">
        <v>1</v>
      </c>
      <c r="F26" s="94"/>
      <c r="G26" s="94">
        <v>2</v>
      </c>
      <c r="H26" s="94"/>
      <c r="I26" s="377">
        <v>0</v>
      </c>
      <c r="J26" s="94"/>
      <c r="K26" s="94"/>
      <c r="L26" s="94"/>
      <c r="M26" s="94">
        <v>2</v>
      </c>
      <c r="N26" s="94"/>
      <c r="O26" s="94"/>
      <c r="P26" s="94"/>
    </row>
    <row r="27" spans="1:16" ht="31.5">
      <c r="A27" s="161">
        <v>13</v>
      </c>
      <c r="B27" s="91" t="s">
        <v>186</v>
      </c>
      <c r="C27" s="112"/>
      <c r="D27" s="113"/>
      <c r="E27" s="94"/>
      <c r="F27" s="94"/>
      <c r="G27" s="94"/>
      <c r="H27" s="94"/>
      <c r="I27" s="94"/>
      <c r="J27" s="94"/>
      <c r="K27" s="94"/>
      <c r="L27" s="94"/>
      <c r="M27" s="94"/>
      <c r="N27" s="94"/>
      <c r="O27" s="94"/>
      <c r="P27" s="94"/>
    </row>
    <row r="28" spans="1:16" ht="31.5">
      <c r="A28" s="161">
        <v>14</v>
      </c>
      <c r="B28" s="91" t="s">
        <v>187</v>
      </c>
      <c r="C28" s="112"/>
      <c r="D28" s="113"/>
      <c r="E28" s="94"/>
      <c r="F28" s="94"/>
      <c r="G28" s="94"/>
      <c r="H28" s="94"/>
      <c r="I28" s="94"/>
      <c r="J28" s="94"/>
      <c r="K28" s="94"/>
      <c r="L28" s="94"/>
      <c r="M28" s="94"/>
      <c r="N28" s="94"/>
      <c r="O28" s="94"/>
      <c r="P28" s="94"/>
    </row>
    <row r="29" spans="1:16" ht="31.5">
      <c r="A29" s="161">
        <v>15</v>
      </c>
      <c r="B29" s="91" t="s">
        <v>188</v>
      </c>
      <c r="C29" s="112"/>
      <c r="D29" s="113"/>
      <c r="E29" s="94"/>
      <c r="F29" s="94"/>
      <c r="G29" s="94"/>
      <c r="H29" s="94"/>
      <c r="I29" s="94"/>
      <c r="J29" s="94"/>
      <c r="K29" s="94"/>
      <c r="L29" s="94"/>
      <c r="M29" s="94"/>
      <c r="N29" s="94"/>
      <c r="O29" s="94"/>
      <c r="P29" s="94"/>
    </row>
    <row r="30" spans="1:16" ht="15.75">
      <c r="A30" s="161">
        <v>16</v>
      </c>
      <c r="B30" s="91" t="s">
        <v>189</v>
      </c>
      <c r="C30" s="112"/>
      <c r="D30" s="113"/>
      <c r="E30" s="94"/>
      <c r="F30" s="94"/>
      <c r="G30" s="94"/>
      <c r="H30" s="94"/>
      <c r="I30" s="94"/>
      <c r="J30" s="94"/>
      <c r="K30" s="94"/>
      <c r="L30" s="94"/>
      <c r="M30" s="94"/>
      <c r="N30" s="94"/>
      <c r="O30" s="94"/>
      <c r="P30" s="94"/>
    </row>
    <row r="31" spans="1:16" ht="15.75">
      <c r="A31" s="161">
        <v>17</v>
      </c>
      <c r="B31" s="92" t="s">
        <v>228</v>
      </c>
      <c r="C31" s="112"/>
      <c r="D31" s="113"/>
      <c r="E31" s="94"/>
      <c r="F31" s="94"/>
      <c r="G31" s="94"/>
      <c r="H31" s="94"/>
      <c r="I31" s="94"/>
      <c r="J31" s="94"/>
      <c r="K31" s="94"/>
      <c r="L31" s="94"/>
      <c r="M31" s="94"/>
      <c r="N31" s="94"/>
      <c r="O31" s="94"/>
      <c r="P31" s="94"/>
    </row>
    <row r="32" spans="1:16" ht="31.5">
      <c r="A32" s="161">
        <v>18</v>
      </c>
      <c r="B32" s="91" t="s">
        <v>190</v>
      </c>
      <c r="C32" s="112"/>
      <c r="D32" s="113"/>
      <c r="E32" s="94"/>
      <c r="F32" s="94"/>
      <c r="G32" s="94"/>
      <c r="H32" s="94"/>
      <c r="I32" s="94"/>
      <c r="J32" s="94"/>
      <c r="K32" s="94"/>
      <c r="L32" s="94"/>
      <c r="M32" s="94"/>
      <c r="N32" s="94"/>
      <c r="O32" s="94"/>
      <c r="P32" s="94"/>
    </row>
    <row r="33" spans="1:16" ht="31.5">
      <c r="A33" s="161">
        <v>19</v>
      </c>
      <c r="B33" s="91" t="s">
        <v>191</v>
      </c>
      <c r="C33" s="112"/>
      <c r="D33" s="113"/>
      <c r="E33" s="94"/>
      <c r="F33" s="94"/>
      <c r="G33" s="94"/>
      <c r="H33" s="94"/>
      <c r="I33" s="94"/>
      <c r="J33" s="94"/>
      <c r="K33" s="94"/>
      <c r="L33" s="94"/>
      <c r="M33" s="94"/>
      <c r="N33" s="94"/>
      <c r="O33" s="94"/>
      <c r="P33" s="94"/>
    </row>
    <row r="34" spans="1:16" ht="15.75">
      <c r="A34" s="161">
        <v>20</v>
      </c>
      <c r="B34" s="91" t="s">
        <v>192</v>
      </c>
      <c r="C34" s="112"/>
      <c r="D34" s="113"/>
      <c r="E34" s="94"/>
      <c r="F34" s="94"/>
      <c r="G34" s="94"/>
      <c r="H34" s="94"/>
      <c r="I34" s="94"/>
      <c r="J34" s="94"/>
      <c r="K34" s="94"/>
      <c r="L34" s="94"/>
      <c r="M34" s="94"/>
      <c r="N34" s="94"/>
      <c r="O34" s="94"/>
      <c r="P34" s="94"/>
    </row>
    <row r="35" spans="1:16" ht="15.75">
      <c r="A35" s="63" t="s">
        <v>98</v>
      </c>
      <c r="B35" s="63"/>
      <c r="C35" s="107">
        <f aca="true" t="shared" si="2" ref="C35:P35">SUM(C36:C98)</f>
        <v>25</v>
      </c>
      <c r="D35" s="107">
        <f t="shared" si="2"/>
        <v>12</v>
      </c>
      <c r="E35" s="107">
        <f t="shared" si="2"/>
        <v>23</v>
      </c>
      <c r="F35" s="107">
        <f t="shared" si="2"/>
        <v>12</v>
      </c>
      <c r="G35" s="107">
        <f t="shared" si="2"/>
        <v>2</v>
      </c>
      <c r="H35" s="374">
        <f t="shared" si="2"/>
        <v>0</v>
      </c>
      <c r="I35" s="374">
        <f t="shared" si="2"/>
        <v>0</v>
      </c>
      <c r="J35" s="374">
        <f t="shared" si="2"/>
        <v>0</v>
      </c>
      <c r="K35" s="107">
        <f t="shared" si="2"/>
        <v>10</v>
      </c>
      <c r="L35" s="107">
        <f t="shared" si="2"/>
        <v>5</v>
      </c>
      <c r="M35" s="107">
        <f t="shared" si="2"/>
        <v>14</v>
      </c>
      <c r="N35" s="107">
        <f t="shared" si="2"/>
        <v>7</v>
      </c>
      <c r="O35" s="107">
        <f t="shared" si="2"/>
        <v>31384825.200999998</v>
      </c>
      <c r="P35" s="107">
        <f t="shared" si="2"/>
        <v>6357270464.201</v>
      </c>
    </row>
    <row r="36" spans="1:16" ht="15.75">
      <c r="A36" s="118">
        <v>1</v>
      </c>
      <c r="B36" s="119" t="s">
        <v>168</v>
      </c>
      <c r="C36" s="372">
        <f aca="true" t="shared" si="3" ref="C36:D40">E36+G36</f>
        <v>0</v>
      </c>
      <c r="D36" s="373">
        <f t="shared" si="3"/>
        <v>0</v>
      </c>
      <c r="E36" s="360">
        <v>0</v>
      </c>
      <c r="F36" s="360">
        <v>0</v>
      </c>
      <c r="G36" s="360">
        <v>0</v>
      </c>
      <c r="H36" s="360">
        <v>0</v>
      </c>
      <c r="I36" s="360">
        <v>0</v>
      </c>
      <c r="J36" s="360">
        <v>0</v>
      </c>
      <c r="K36" s="360">
        <v>0</v>
      </c>
      <c r="L36" s="360">
        <v>0</v>
      </c>
      <c r="M36" s="360">
        <v>0</v>
      </c>
      <c r="N36" s="360">
        <v>0</v>
      </c>
      <c r="O36" s="360">
        <v>0</v>
      </c>
      <c r="P36" s="360">
        <v>0</v>
      </c>
    </row>
    <row r="37" spans="1:16" ht="15.75">
      <c r="A37" s="118">
        <v>2</v>
      </c>
      <c r="B37" s="119" t="s">
        <v>253</v>
      </c>
      <c r="C37" s="372">
        <f t="shared" si="3"/>
        <v>0</v>
      </c>
      <c r="D37" s="373">
        <f t="shared" si="3"/>
        <v>0</v>
      </c>
      <c r="E37" s="360">
        <v>0</v>
      </c>
      <c r="F37" s="360">
        <v>0</v>
      </c>
      <c r="G37" s="360">
        <v>0</v>
      </c>
      <c r="H37" s="360">
        <v>0</v>
      </c>
      <c r="I37" s="360">
        <v>0</v>
      </c>
      <c r="J37" s="360">
        <v>0</v>
      </c>
      <c r="K37" s="360">
        <v>0</v>
      </c>
      <c r="L37" s="360">
        <v>0</v>
      </c>
      <c r="M37" s="360">
        <v>0</v>
      </c>
      <c r="N37" s="360">
        <v>0</v>
      </c>
      <c r="O37" s="360">
        <v>0</v>
      </c>
      <c r="P37" s="360">
        <v>0</v>
      </c>
    </row>
    <row r="38" spans="1:16" ht="15.75">
      <c r="A38" s="118">
        <v>3</v>
      </c>
      <c r="B38" s="119" t="s">
        <v>169</v>
      </c>
      <c r="C38" s="372">
        <f t="shared" si="3"/>
        <v>0</v>
      </c>
      <c r="D38" s="373">
        <f t="shared" si="3"/>
        <v>0</v>
      </c>
      <c r="E38" s="360">
        <v>0</v>
      </c>
      <c r="F38" s="360">
        <v>0</v>
      </c>
      <c r="G38" s="360">
        <v>0</v>
      </c>
      <c r="H38" s="360">
        <v>0</v>
      </c>
      <c r="I38" s="360">
        <v>0</v>
      </c>
      <c r="J38" s="360">
        <v>0</v>
      </c>
      <c r="K38" s="360">
        <v>0</v>
      </c>
      <c r="L38" s="360">
        <v>0</v>
      </c>
      <c r="M38" s="360">
        <v>0</v>
      </c>
      <c r="N38" s="360">
        <v>0</v>
      </c>
      <c r="O38" s="360">
        <v>0</v>
      </c>
      <c r="P38" s="360">
        <v>0</v>
      </c>
    </row>
    <row r="39" spans="1:16" ht="15.75">
      <c r="A39" s="118">
        <v>4</v>
      </c>
      <c r="B39" s="119" t="s">
        <v>170</v>
      </c>
      <c r="C39" s="372">
        <f t="shared" si="3"/>
        <v>0</v>
      </c>
      <c r="D39" s="373">
        <f t="shared" si="3"/>
        <v>0</v>
      </c>
      <c r="E39" s="360">
        <v>0</v>
      </c>
      <c r="F39" s="360">
        <v>0</v>
      </c>
      <c r="G39" s="360">
        <v>0</v>
      </c>
      <c r="H39" s="360">
        <v>0</v>
      </c>
      <c r="I39" s="360">
        <v>0</v>
      </c>
      <c r="J39" s="360">
        <v>0</v>
      </c>
      <c r="K39" s="360">
        <v>0</v>
      </c>
      <c r="L39" s="360">
        <v>0</v>
      </c>
      <c r="M39" s="360">
        <v>0</v>
      </c>
      <c r="N39" s="360">
        <v>0</v>
      </c>
      <c r="O39" s="360">
        <v>0</v>
      </c>
      <c r="P39" s="360">
        <v>0</v>
      </c>
    </row>
    <row r="40" spans="1:16" ht="15.75">
      <c r="A40" s="118">
        <v>5</v>
      </c>
      <c r="B40" s="119" t="s">
        <v>171</v>
      </c>
      <c r="C40" s="372">
        <f t="shared" si="3"/>
        <v>0</v>
      </c>
      <c r="D40" s="373">
        <f t="shared" si="3"/>
        <v>0</v>
      </c>
      <c r="E40" s="360">
        <v>0</v>
      </c>
      <c r="F40" s="360">
        <v>0</v>
      </c>
      <c r="G40" s="360">
        <v>0</v>
      </c>
      <c r="H40" s="360">
        <v>0</v>
      </c>
      <c r="I40" s="360">
        <v>0</v>
      </c>
      <c r="J40" s="360">
        <v>0</v>
      </c>
      <c r="K40" s="360">
        <v>0</v>
      </c>
      <c r="L40" s="360">
        <v>0</v>
      </c>
      <c r="M40" s="360">
        <v>0</v>
      </c>
      <c r="N40" s="360">
        <v>0</v>
      </c>
      <c r="O40" s="360">
        <v>0</v>
      </c>
      <c r="P40" s="360">
        <v>0</v>
      </c>
    </row>
    <row r="41" spans="1:16" ht="15.75">
      <c r="A41" s="118">
        <v>6</v>
      </c>
      <c r="B41" s="319" t="s">
        <v>172</v>
      </c>
      <c r="C41" s="304"/>
      <c r="D41" s="306"/>
      <c r="E41" s="306"/>
      <c r="F41" s="306"/>
      <c r="G41" s="306"/>
      <c r="H41" s="306"/>
      <c r="I41" s="306"/>
      <c r="J41" s="306"/>
      <c r="K41" s="306"/>
      <c r="L41" s="306"/>
      <c r="M41" s="306"/>
      <c r="N41" s="306"/>
      <c r="O41" s="306"/>
      <c r="P41" s="306"/>
    </row>
    <row r="42" spans="1:16" ht="15.75">
      <c r="A42" s="118">
        <v>7</v>
      </c>
      <c r="B42" s="119" t="s">
        <v>173</v>
      </c>
      <c r="C42" s="221">
        <f aca="true" t="shared" si="4" ref="C42:C54">E42+G42</f>
        <v>1</v>
      </c>
      <c r="D42" s="222">
        <f aca="true" t="shared" si="5" ref="D42:D51">F42+H42</f>
        <v>1</v>
      </c>
      <c r="E42" s="220">
        <v>1</v>
      </c>
      <c r="F42" s="109">
        <v>1</v>
      </c>
      <c r="G42" s="360">
        <v>0</v>
      </c>
      <c r="H42" s="360">
        <v>0</v>
      </c>
      <c r="I42" s="360">
        <v>0</v>
      </c>
      <c r="J42" s="360">
        <v>0</v>
      </c>
      <c r="K42" s="360">
        <v>0</v>
      </c>
      <c r="L42" s="360">
        <v>0</v>
      </c>
      <c r="M42" s="109">
        <v>1</v>
      </c>
      <c r="N42" s="109">
        <v>1</v>
      </c>
      <c r="O42" s="109">
        <v>124876</v>
      </c>
      <c r="P42" s="109">
        <v>124876</v>
      </c>
    </row>
    <row r="43" spans="1:16" ht="15.75">
      <c r="A43" s="118">
        <v>8</v>
      </c>
      <c r="B43" s="119" t="s">
        <v>174</v>
      </c>
      <c r="C43" s="372">
        <f t="shared" si="4"/>
        <v>0</v>
      </c>
      <c r="D43" s="373">
        <f t="shared" si="5"/>
        <v>0</v>
      </c>
      <c r="E43" s="360">
        <v>0</v>
      </c>
      <c r="F43" s="360">
        <v>0</v>
      </c>
      <c r="G43" s="360">
        <v>0</v>
      </c>
      <c r="H43" s="360">
        <v>0</v>
      </c>
      <c r="I43" s="360">
        <v>0</v>
      </c>
      <c r="J43" s="360">
        <v>0</v>
      </c>
      <c r="K43" s="360">
        <v>0</v>
      </c>
      <c r="L43" s="360">
        <v>0</v>
      </c>
      <c r="M43" s="360">
        <v>0</v>
      </c>
      <c r="N43" s="360">
        <v>0</v>
      </c>
      <c r="O43" s="360">
        <v>0</v>
      </c>
      <c r="P43" s="360">
        <v>0</v>
      </c>
    </row>
    <row r="44" spans="1:16" ht="15.75">
      <c r="A44" s="118">
        <v>9</v>
      </c>
      <c r="B44" s="119" t="s">
        <v>175</v>
      </c>
      <c r="C44" s="372">
        <f t="shared" si="4"/>
        <v>0</v>
      </c>
      <c r="D44" s="373">
        <f t="shared" si="5"/>
        <v>0</v>
      </c>
      <c r="E44" s="360">
        <v>0</v>
      </c>
      <c r="F44" s="360">
        <v>0</v>
      </c>
      <c r="G44" s="360">
        <v>0</v>
      </c>
      <c r="H44" s="360">
        <v>0</v>
      </c>
      <c r="I44" s="360">
        <v>0</v>
      </c>
      <c r="J44" s="360">
        <v>0</v>
      </c>
      <c r="K44" s="360">
        <v>0</v>
      </c>
      <c r="L44" s="360">
        <v>0</v>
      </c>
      <c r="M44" s="360">
        <v>0</v>
      </c>
      <c r="N44" s="360">
        <v>0</v>
      </c>
      <c r="O44" s="360">
        <v>0</v>
      </c>
      <c r="P44" s="360">
        <v>0</v>
      </c>
    </row>
    <row r="45" spans="1:16" ht="15.75">
      <c r="A45" s="118">
        <v>10</v>
      </c>
      <c r="B45" s="119" t="s">
        <v>176</v>
      </c>
      <c r="C45" s="372">
        <f t="shared" si="4"/>
        <v>0</v>
      </c>
      <c r="D45" s="373">
        <f t="shared" si="5"/>
        <v>0</v>
      </c>
      <c r="E45" s="360">
        <v>0</v>
      </c>
      <c r="F45" s="360">
        <v>0</v>
      </c>
      <c r="G45" s="360">
        <v>0</v>
      </c>
      <c r="H45" s="360">
        <v>0</v>
      </c>
      <c r="I45" s="360">
        <v>0</v>
      </c>
      <c r="J45" s="360">
        <v>0</v>
      </c>
      <c r="K45" s="360">
        <v>0</v>
      </c>
      <c r="L45" s="360">
        <v>0</v>
      </c>
      <c r="M45" s="360">
        <v>0</v>
      </c>
      <c r="N45" s="360">
        <v>0</v>
      </c>
      <c r="O45" s="360">
        <v>0</v>
      </c>
      <c r="P45" s="360">
        <v>0</v>
      </c>
    </row>
    <row r="46" spans="1:16" ht="15.75">
      <c r="A46" s="118">
        <v>11</v>
      </c>
      <c r="B46" s="119" t="s">
        <v>177</v>
      </c>
      <c r="C46" s="221">
        <f t="shared" si="4"/>
        <v>1</v>
      </c>
      <c r="D46" s="222">
        <f t="shared" si="5"/>
        <v>1</v>
      </c>
      <c r="E46" s="109">
        <v>1</v>
      </c>
      <c r="F46" s="109">
        <v>1</v>
      </c>
      <c r="G46" s="360">
        <v>0</v>
      </c>
      <c r="H46" s="360">
        <v>0</v>
      </c>
      <c r="I46" s="360">
        <v>0</v>
      </c>
      <c r="J46" s="360">
        <v>0</v>
      </c>
      <c r="K46" s="109">
        <v>1</v>
      </c>
      <c r="L46" s="109">
        <v>1</v>
      </c>
      <c r="M46" s="360">
        <v>0</v>
      </c>
      <c r="N46" s="360">
        <v>0</v>
      </c>
      <c r="O46" s="326">
        <v>688219</v>
      </c>
      <c r="P46" s="326">
        <v>688219</v>
      </c>
    </row>
    <row r="47" spans="1:16" ht="15.75">
      <c r="A47" s="118">
        <v>12</v>
      </c>
      <c r="B47" s="119" t="s">
        <v>178</v>
      </c>
      <c r="C47" s="221">
        <f t="shared" si="4"/>
        <v>1</v>
      </c>
      <c r="D47" s="373">
        <f t="shared" si="5"/>
        <v>0</v>
      </c>
      <c r="E47" s="109">
        <v>1</v>
      </c>
      <c r="F47" s="360">
        <v>0</v>
      </c>
      <c r="G47" s="109"/>
      <c r="H47" s="109"/>
      <c r="I47" s="109"/>
      <c r="J47" s="109"/>
      <c r="K47" s="109">
        <v>1</v>
      </c>
      <c r="L47" s="109"/>
      <c r="M47" s="109"/>
      <c r="N47" s="109"/>
      <c r="O47" s="109"/>
      <c r="P47" s="109"/>
    </row>
    <row r="48" spans="1:16" ht="15.75">
      <c r="A48" s="118">
        <v>13</v>
      </c>
      <c r="B48" s="119" t="s">
        <v>179</v>
      </c>
      <c r="C48" s="372">
        <f t="shared" si="4"/>
        <v>0</v>
      </c>
      <c r="D48" s="373">
        <f t="shared" si="5"/>
        <v>0</v>
      </c>
      <c r="E48" s="360">
        <v>0</v>
      </c>
      <c r="F48" s="360">
        <v>0</v>
      </c>
      <c r="G48" s="360">
        <v>0</v>
      </c>
      <c r="H48" s="360">
        <v>0</v>
      </c>
      <c r="I48" s="360">
        <v>0</v>
      </c>
      <c r="J48" s="360">
        <v>0</v>
      </c>
      <c r="K48" s="360">
        <v>0</v>
      </c>
      <c r="L48" s="360">
        <v>0</v>
      </c>
      <c r="M48" s="360">
        <v>0</v>
      </c>
      <c r="N48" s="360">
        <v>0</v>
      </c>
      <c r="O48" s="360">
        <v>0</v>
      </c>
      <c r="P48" s="360">
        <v>0</v>
      </c>
    </row>
    <row r="49" spans="1:16" ht="15.75">
      <c r="A49" s="118">
        <v>14</v>
      </c>
      <c r="B49" s="119" t="s">
        <v>180</v>
      </c>
      <c r="C49" s="372">
        <f>E49+G49</f>
        <v>0</v>
      </c>
      <c r="D49" s="373">
        <f>F49+H49</f>
        <v>0</v>
      </c>
      <c r="E49" s="360">
        <v>0</v>
      </c>
      <c r="F49" s="360">
        <v>0</v>
      </c>
      <c r="G49" s="360">
        <v>0</v>
      </c>
      <c r="H49" s="360">
        <v>0</v>
      </c>
      <c r="I49" s="360">
        <v>0</v>
      </c>
      <c r="J49" s="360">
        <v>0</v>
      </c>
      <c r="K49" s="360">
        <v>0</v>
      </c>
      <c r="L49" s="360">
        <v>0</v>
      </c>
      <c r="M49" s="360">
        <v>0</v>
      </c>
      <c r="N49" s="360">
        <v>0</v>
      </c>
      <c r="O49" s="360">
        <v>0</v>
      </c>
      <c r="P49" s="360">
        <v>0</v>
      </c>
    </row>
    <row r="50" spans="1:16" ht="15.75">
      <c r="A50" s="118">
        <v>15</v>
      </c>
      <c r="B50" s="119" t="s">
        <v>181</v>
      </c>
      <c r="C50" s="372">
        <f>E50+G50</f>
        <v>0</v>
      </c>
      <c r="D50" s="373">
        <f>F50+H50</f>
        <v>0</v>
      </c>
      <c r="E50" s="360">
        <v>0</v>
      </c>
      <c r="F50" s="360">
        <v>0</v>
      </c>
      <c r="G50" s="360">
        <v>0</v>
      </c>
      <c r="H50" s="360">
        <v>0</v>
      </c>
      <c r="I50" s="360">
        <v>0</v>
      </c>
      <c r="J50" s="360">
        <v>0</v>
      </c>
      <c r="K50" s="360">
        <v>0</v>
      </c>
      <c r="L50" s="360">
        <v>0</v>
      </c>
      <c r="M50" s="360">
        <v>0</v>
      </c>
      <c r="N50" s="360">
        <v>0</v>
      </c>
      <c r="O50" s="360">
        <v>0</v>
      </c>
      <c r="P50" s="360">
        <v>0</v>
      </c>
    </row>
    <row r="51" spans="1:16" ht="15.75">
      <c r="A51" s="118">
        <v>16</v>
      </c>
      <c r="B51" s="119" t="s">
        <v>182</v>
      </c>
      <c r="C51" s="221">
        <f t="shared" si="4"/>
        <v>1</v>
      </c>
      <c r="D51" s="222">
        <f t="shared" si="5"/>
        <v>1</v>
      </c>
      <c r="E51" s="109">
        <v>1</v>
      </c>
      <c r="F51" s="109">
        <v>1</v>
      </c>
      <c r="G51" s="220"/>
      <c r="H51" s="109"/>
      <c r="I51" s="109"/>
      <c r="J51" s="109"/>
      <c r="K51" s="109"/>
      <c r="L51" s="109"/>
      <c r="M51" s="220">
        <v>1</v>
      </c>
      <c r="N51" s="109">
        <v>1</v>
      </c>
      <c r="O51" s="109">
        <v>128560</v>
      </c>
      <c r="P51" s="109">
        <v>128560</v>
      </c>
    </row>
    <row r="52" spans="1:16" ht="15.75">
      <c r="A52" s="118">
        <v>17</v>
      </c>
      <c r="B52" s="119" t="s">
        <v>183</v>
      </c>
      <c r="C52" s="372">
        <f>E52+G52</f>
        <v>0</v>
      </c>
      <c r="D52" s="373">
        <f>F52+H52</f>
        <v>0</v>
      </c>
      <c r="E52" s="360">
        <v>0</v>
      </c>
      <c r="F52" s="360">
        <v>0</v>
      </c>
      <c r="G52" s="360">
        <v>0</v>
      </c>
      <c r="H52" s="360">
        <v>0</v>
      </c>
      <c r="I52" s="360">
        <v>0</v>
      </c>
      <c r="J52" s="360">
        <v>0</v>
      </c>
      <c r="K52" s="360">
        <v>0</v>
      </c>
      <c r="L52" s="360">
        <v>0</v>
      </c>
      <c r="M52" s="360">
        <v>0</v>
      </c>
      <c r="N52" s="360">
        <v>0</v>
      </c>
      <c r="O52" s="360">
        <v>0</v>
      </c>
      <c r="P52" s="360">
        <v>0</v>
      </c>
    </row>
    <row r="53" spans="1:16" ht="15.75">
      <c r="A53" s="118">
        <v>18</v>
      </c>
      <c r="B53" s="119" t="s">
        <v>184</v>
      </c>
      <c r="C53" s="372">
        <f>E53+G53</f>
        <v>0</v>
      </c>
      <c r="D53" s="373">
        <f>F53+H53</f>
        <v>0</v>
      </c>
      <c r="E53" s="360">
        <v>0</v>
      </c>
      <c r="F53" s="360">
        <v>0</v>
      </c>
      <c r="G53" s="360">
        <v>0</v>
      </c>
      <c r="H53" s="360">
        <v>0</v>
      </c>
      <c r="I53" s="360">
        <v>0</v>
      </c>
      <c r="J53" s="360">
        <v>0</v>
      </c>
      <c r="K53" s="360">
        <v>0</v>
      </c>
      <c r="L53" s="360">
        <v>0</v>
      </c>
      <c r="M53" s="360">
        <v>0</v>
      </c>
      <c r="N53" s="360">
        <v>0</v>
      </c>
      <c r="O53" s="360">
        <v>0</v>
      </c>
      <c r="P53" s="360">
        <v>0</v>
      </c>
    </row>
    <row r="54" spans="1:16" ht="15.75">
      <c r="A54" s="118">
        <v>19</v>
      </c>
      <c r="B54" s="120" t="s">
        <v>202</v>
      </c>
      <c r="C54" s="221">
        <f t="shared" si="4"/>
        <v>3</v>
      </c>
      <c r="D54" s="373">
        <f>F54+H54</f>
        <v>0</v>
      </c>
      <c r="E54" s="220">
        <v>2</v>
      </c>
      <c r="F54" s="360">
        <v>0</v>
      </c>
      <c r="G54" s="220">
        <v>1</v>
      </c>
      <c r="H54" s="360">
        <v>0</v>
      </c>
      <c r="I54" s="220"/>
      <c r="J54" s="220"/>
      <c r="K54" s="220"/>
      <c r="L54" s="220"/>
      <c r="M54" s="220">
        <v>3</v>
      </c>
      <c r="N54" s="360">
        <v>0</v>
      </c>
      <c r="O54" s="220">
        <v>5848639</v>
      </c>
      <c r="P54" s="360">
        <v>0</v>
      </c>
    </row>
    <row r="55" spans="1:16" ht="15.75">
      <c r="A55" s="118">
        <v>20</v>
      </c>
      <c r="B55" s="120" t="s">
        <v>203</v>
      </c>
      <c r="C55" s="372">
        <f>E55+G55</f>
        <v>0</v>
      </c>
      <c r="D55" s="373">
        <f>F55+H55</f>
        <v>0</v>
      </c>
      <c r="E55" s="360">
        <v>0</v>
      </c>
      <c r="F55" s="360">
        <v>0</v>
      </c>
      <c r="G55" s="360">
        <v>0</v>
      </c>
      <c r="H55" s="360">
        <v>0</v>
      </c>
      <c r="I55" s="360">
        <v>0</v>
      </c>
      <c r="J55" s="360">
        <v>0</v>
      </c>
      <c r="K55" s="360">
        <v>0</v>
      </c>
      <c r="L55" s="360">
        <v>0</v>
      </c>
      <c r="M55" s="360">
        <v>0</v>
      </c>
      <c r="N55" s="360">
        <v>0</v>
      </c>
      <c r="O55" s="360">
        <v>0</v>
      </c>
      <c r="P55" s="360">
        <v>0</v>
      </c>
    </row>
    <row r="56" spans="1:16" ht="15.75">
      <c r="A56" s="118">
        <v>21</v>
      </c>
      <c r="B56" s="120" t="s">
        <v>204</v>
      </c>
      <c r="C56" s="372">
        <f aca="true" t="shared" si="6" ref="C56:C62">E56+G56</f>
        <v>0</v>
      </c>
      <c r="D56" s="373">
        <f aca="true" t="shared" si="7" ref="D56:D62">F56+H56</f>
        <v>0</v>
      </c>
      <c r="E56" s="360">
        <v>0</v>
      </c>
      <c r="F56" s="360">
        <v>0</v>
      </c>
      <c r="G56" s="360">
        <v>0</v>
      </c>
      <c r="H56" s="360">
        <v>0</v>
      </c>
      <c r="I56" s="360">
        <v>0</v>
      </c>
      <c r="J56" s="360">
        <v>0</v>
      </c>
      <c r="K56" s="360">
        <v>0</v>
      </c>
      <c r="L56" s="360">
        <v>0</v>
      </c>
      <c r="M56" s="360">
        <v>0</v>
      </c>
      <c r="N56" s="360">
        <v>0</v>
      </c>
      <c r="O56" s="360">
        <v>0</v>
      </c>
      <c r="P56" s="360">
        <v>0</v>
      </c>
    </row>
    <row r="57" spans="1:16" ht="15.75">
      <c r="A57" s="118">
        <v>22</v>
      </c>
      <c r="B57" s="120" t="s">
        <v>205</v>
      </c>
      <c r="C57" s="372">
        <f t="shared" si="6"/>
        <v>0</v>
      </c>
      <c r="D57" s="373">
        <f t="shared" si="7"/>
        <v>0</v>
      </c>
      <c r="E57" s="360">
        <v>0</v>
      </c>
      <c r="F57" s="360">
        <v>0</v>
      </c>
      <c r="G57" s="360">
        <v>0</v>
      </c>
      <c r="H57" s="360">
        <v>0</v>
      </c>
      <c r="I57" s="360">
        <v>0</v>
      </c>
      <c r="J57" s="360">
        <v>0</v>
      </c>
      <c r="K57" s="360">
        <v>0</v>
      </c>
      <c r="L57" s="360">
        <v>0</v>
      </c>
      <c r="M57" s="360">
        <v>0</v>
      </c>
      <c r="N57" s="360">
        <v>0</v>
      </c>
      <c r="O57" s="360">
        <v>0</v>
      </c>
      <c r="P57" s="360">
        <v>0</v>
      </c>
    </row>
    <row r="58" spans="1:16" ht="15.75">
      <c r="A58" s="118">
        <v>23</v>
      </c>
      <c r="B58" s="120" t="s">
        <v>206</v>
      </c>
      <c r="C58" s="372">
        <f t="shared" si="6"/>
        <v>0</v>
      </c>
      <c r="D58" s="373">
        <f t="shared" si="7"/>
        <v>0</v>
      </c>
      <c r="E58" s="360">
        <v>0</v>
      </c>
      <c r="F58" s="360">
        <v>0</v>
      </c>
      <c r="G58" s="360">
        <v>0</v>
      </c>
      <c r="H58" s="360">
        <v>0</v>
      </c>
      <c r="I58" s="360">
        <v>0</v>
      </c>
      <c r="J58" s="360">
        <v>0</v>
      </c>
      <c r="K58" s="360">
        <v>0</v>
      </c>
      <c r="L58" s="360">
        <v>0</v>
      </c>
      <c r="M58" s="360">
        <v>0</v>
      </c>
      <c r="N58" s="360">
        <v>0</v>
      </c>
      <c r="O58" s="360">
        <v>0</v>
      </c>
      <c r="P58" s="360">
        <v>0</v>
      </c>
    </row>
    <row r="59" spans="1:16" ht="15.75">
      <c r="A59" s="118">
        <v>24</v>
      </c>
      <c r="B59" s="120" t="s">
        <v>207</v>
      </c>
      <c r="C59" s="372">
        <f t="shared" si="6"/>
        <v>0</v>
      </c>
      <c r="D59" s="373">
        <f t="shared" si="7"/>
        <v>0</v>
      </c>
      <c r="E59" s="360">
        <v>0</v>
      </c>
      <c r="F59" s="360">
        <v>0</v>
      </c>
      <c r="G59" s="360">
        <v>0</v>
      </c>
      <c r="H59" s="360">
        <v>0</v>
      </c>
      <c r="I59" s="360">
        <v>0</v>
      </c>
      <c r="J59" s="360">
        <v>0</v>
      </c>
      <c r="K59" s="360">
        <v>0</v>
      </c>
      <c r="L59" s="360">
        <v>0</v>
      </c>
      <c r="M59" s="360">
        <v>0</v>
      </c>
      <c r="N59" s="360">
        <v>0</v>
      </c>
      <c r="O59" s="360">
        <v>0</v>
      </c>
      <c r="P59" s="360">
        <v>0</v>
      </c>
    </row>
    <row r="60" spans="1:16" ht="15.75">
      <c r="A60" s="118">
        <v>25</v>
      </c>
      <c r="B60" s="120" t="s">
        <v>208</v>
      </c>
      <c r="C60" s="372">
        <f t="shared" si="6"/>
        <v>0</v>
      </c>
      <c r="D60" s="373">
        <f t="shared" si="7"/>
        <v>0</v>
      </c>
      <c r="E60" s="360">
        <v>0</v>
      </c>
      <c r="F60" s="360">
        <v>0</v>
      </c>
      <c r="G60" s="360">
        <v>0</v>
      </c>
      <c r="H60" s="360">
        <v>0</v>
      </c>
      <c r="I60" s="360">
        <v>0</v>
      </c>
      <c r="J60" s="360">
        <v>0</v>
      </c>
      <c r="K60" s="360">
        <v>0</v>
      </c>
      <c r="L60" s="360">
        <v>0</v>
      </c>
      <c r="M60" s="360">
        <v>0</v>
      </c>
      <c r="N60" s="360">
        <v>0</v>
      </c>
      <c r="O60" s="360">
        <v>0</v>
      </c>
      <c r="P60" s="360">
        <v>0</v>
      </c>
    </row>
    <row r="61" spans="1:16" ht="15.75">
      <c r="A61" s="118">
        <v>26</v>
      </c>
      <c r="B61" s="120" t="s">
        <v>209</v>
      </c>
      <c r="C61" s="372">
        <f t="shared" si="6"/>
        <v>0</v>
      </c>
      <c r="D61" s="373">
        <f t="shared" si="7"/>
        <v>0</v>
      </c>
      <c r="E61" s="360">
        <v>0</v>
      </c>
      <c r="F61" s="360">
        <v>0</v>
      </c>
      <c r="G61" s="360">
        <v>0</v>
      </c>
      <c r="H61" s="360">
        <v>0</v>
      </c>
      <c r="I61" s="360">
        <v>0</v>
      </c>
      <c r="J61" s="360">
        <v>0</v>
      </c>
      <c r="K61" s="360">
        <v>0</v>
      </c>
      <c r="L61" s="360">
        <v>0</v>
      </c>
      <c r="M61" s="360">
        <v>0</v>
      </c>
      <c r="N61" s="360">
        <v>0</v>
      </c>
      <c r="O61" s="360">
        <v>0</v>
      </c>
      <c r="P61" s="360">
        <v>0</v>
      </c>
    </row>
    <row r="62" spans="1:16" ht="15.75">
      <c r="A62" s="118">
        <v>27</v>
      </c>
      <c r="B62" s="120" t="s">
        <v>210</v>
      </c>
      <c r="C62" s="372">
        <f t="shared" si="6"/>
        <v>0</v>
      </c>
      <c r="D62" s="373">
        <f t="shared" si="7"/>
        <v>0</v>
      </c>
      <c r="E62" s="360">
        <v>0</v>
      </c>
      <c r="F62" s="360">
        <v>0</v>
      </c>
      <c r="G62" s="360">
        <v>0</v>
      </c>
      <c r="H62" s="360">
        <v>0</v>
      </c>
      <c r="I62" s="360">
        <v>0</v>
      </c>
      <c r="J62" s="360">
        <v>0</v>
      </c>
      <c r="K62" s="360">
        <v>0</v>
      </c>
      <c r="L62" s="360">
        <v>0</v>
      </c>
      <c r="M62" s="360">
        <v>0</v>
      </c>
      <c r="N62" s="360">
        <v>0</v>
      </c>
      <c r="O62" s="360">
        <v>0</v>
      </c>
      <c r="P62" s="360">
        <v>0</v>
      </c>
    </row>
    <row r="63" spans="1:16" ht="15.75">
      <c r="A63" s="118">
        <v>28</v>
      </c>
      <c r="B63" s="120" t="s">
        <v>211</v>
      </c>
      <c r="C63" s="221">
        <f>E63+G63</f>
        <v>1</v>
      </c>
      <c r="D63" s="222">
        <f>F63+H63</f>
        <v>1</v>
      </c>
      <c r="E63" s="220">
        <v>1</v>
      </c>
      <c r="F63" s="220">
        <v>1</v>
      </c>
      <c r="G63" s="360">
        <v>0</v>
      </c>
      <c r="H63" s="360">
        <v>0</v>
      </c>
      <c r="I63" s="360">
        <v>0</v>
      </c>
      <c r="J63" s="360">
        <v>0</v>
      </c>
      <c r="K63" s="360">
        <v>0</v>
      </c>
      <c r="L63" s="360">
        <v>0</v>
      </c>
      <c r="M63" s="220">
        <v>1</v>
      </c>
      <c r="N63" s="220">
        <v>1</v>
      </c>
      <c r="O63" s="220">
        <v>20000</v>
      </c>
      <c r="P63" s="360">
        <v>0</v>
      </c>
    </row>
    <row r="64" spans="1:16" ht="15.75">
      <c r="A64" s="118">
        <v>29</v>
      </c>
      <c r="B64" s="120" t="s">
        <v>212</v>
      </c>
      <c r="C64" s="372">
        <f>E64+G64</f>
        <v>0</v>
      </c>
      <c r="D64" s="373">
        <f>F64+H64</f>
        <v>0</v>
      </c>
      <c r="E64" s="360">
        <v>0</v>
      </c>
      <c r="F64" s="360">
        <v>0</v>
      </c>
      <c r="G64" s="360">
        <v>0</v>
      </c>
      <c r="H64" s="360">
        <v>0</v>
      </c>
      <c r="I64" s="360">
        <v>0</v>
      </c>
      <c r="J64" s="360">
        <v>0</v>
      </c>
      <c r="K64" s="360">
        <v>0</v>
      </c>
      <c r="L64" s="360">
        <v>0</v>
      </c>
      <c r="M64" s="360">
        <v>0</v>
      </c>
      <c r="N64" s="360">
        <v>0</v>
      </c>
      <c r="O64" s="360">
        <v>0</v>
      </c>
      <c r="P64" s="360">
        <v>0</v>
      </c>
    </row>
    <row r="65" spans="1:16" ht="15.75">
      <c r="A65" s="118">
        <v>30</v>
      </c>
      <c r="B65" s="120" t="s">
        <v>213</v>
      </c>
      <c r="C65" s="372">
        <f>E65+G65</f>
        <v>0</v>
      </c>
      <c r="D65" s="373">
        <f aca="true" t="shared" si="8" ref="D65:D70">F65+H65</f>
        <v>0</v>
      </c>
      <c r="E65" s="360">
        <v>0</v>
      </c>
      <c r="F65" s="360">
        <v>0</v>
      </c>
      <c r="G65" s="360">
        <v>0</v>
      </c>
      <c r="H65" s="360">
        <v>0</v>
      </c>
      <c r="I65" s="360">
        <v>0</v>
      </c>
      <c r="J65" s="360">
        <v>0</v>
      </c>
      <c r="K65" s="360">
        <v>0</v>
      </c>
      <c r="L65" s="360">
        <v>0</v>
      </c>
      <c r="M65" s="360">
        <v>0</v>
      </c>
      <c r="N65" s="360">
        <v>0</v>
      </c>
      <c r="O65" s="360">
        <v>0</v>
      </c>
      <c r="P65" s="360">
        <v>0</v>
      </c>
    </row>
    <row r="66" spans="1:16" ht="15.75">
      <c r="A66" s="118">
        <v>31</v>
      </c>
      <c r="B66" s="120" t="s">
        <v>214</v>
      </c>
      <c r="C66" s="372">
        <f>E66+G66</f>
        <v>0</v>
      </c>
      <c r="D66" s="373">
        <f t="shared" si="8"/>
        <v>0</v>
      </c>
      <c r="E66" s="360">
        <v>0</v>
      </c>
      <c r="F66" s="360">
        <v>0</v>
      </c>
      <c r="G66" s="360">
        <v>0</v>
      </c>
      <c r="H66" s="360">
        <v>0</v>
      </c>
      <c r="I66" s="360">
        <v>0</v>
      </c>
      <c r="J66" s="360">
        <v>0</v>
      </c>
      <c r="K66" s="360">
        <v>0</v>
      </c>
      <c r="L66" s="360">
        <v>0</v>
      </c>
      <c r="M66" s="360">
        <v>0</v>
      </c>
      <c r="N66" s="360">
        <v>0</v>
      </c>
      <c r="O66" s="360">
        <v>0</v>
      </c>
      <c r="P66" s="360">
        <v>0</v>
      </c>
    </row>
    <row r="67" spans="1:16" ht="15.75">
      <c r="A67" s="118">
        <v>32</v>
      </c>
      <c r="B67" s="120" t="s">
        <v>215</v>
      </c>
      <c r="C67" s="372">
        <f>E67+G67</f>
        <v>0</v>
      </c>
      <c r="D67" s="373">
        <f t="shared" si="8"/>
        <v>0</v>
      </c>
      <c r="E67" s="360">
        <v>0</v>
      </c>
      <c r="F67" s="360">
        <v>0</v>
      </c>
      <c r="G67" s="360">
        <v>0</v>
      </c>
      <c r="H67" s="360">
        <v>0</v>
      </c>
      <c r="I67" s="360">
        <v>0</v>
      </c>
      <c r="J67" s="360">
        <v>0</v>
      </c>
      <c r="K67" s="360">
        <v>0</v>
      </c>
      <c r="L67" s="360">
        <v>0</v>
      </c>
      <c r="M67" s="360">
        <v>0</v>
      </c>
      <c r="N67" s="360">
        <v>0</v>
      </c>
      <c r="O67" s="360">
        <v>0</v>
      </c>
      <c r="P67" s="360">
        <v>0</v>
      </c>
    </row>
    <row r="68" spans="1:16" ht="15.75">
      <c r="A68" s="118">
        <v>33</v>
      </c>
      <c r="B68" s="120" t="s">
        <v>216</v>
      </c>
      <c r="C68" s="372">
        <f>E68+G68</f>
        <v>0</v>
      </c>
      <c r="D68" s="373">
        <f t="shared" si="8"/>
        <v>0</v>
      </c>
      <c r="E68" s="360">
        <v>0</v>
      </c>
      <c r="F68" s="360">
        <v>0</v>
      </c>
      <c r="G68" s="360">
        <v>0</v>
      </c>
      <c r="H68" s="360">
        <v>0</v>
      </c>
      <c r="I68" s="360">
        <v>0</v>
      </c>
      <c r="J68" s="360">
        <v>0</v>
      </c>
      <c r="K68" s="360">
        <v>0</v>
      </c>
      <c r="L68" s="360">
        <v>0</v>
      </c>
      <c r="M68" s="360">
        <v>0</v>
      </c>
      <c r="N68" s="360">
        <v>0</v>
      </c>
      <c r="O68" s="360">
        <v>0</v>
      </c>
      <c r="P68" s="360">
        <v>0</v>
      </c>
    </row>
    <row r="69" spans="1:16" ht="15.75">
      <c r="A69" s="118">
        <v>34</v>
      </c>
      <c r="B69" s="120" t="s">
        <v>217</v>
      </c>
      <c r="C69" s="372">
        <f>E69+G69</f>
        <v>0</v>
      </c>
      <c r="D69" s="373">
        <f t="shared" si="8"/>
        <v>0</v>
      </c>
      <c r="E69" s="360">
        <v>0</v>
      </c>
      <c r="F69" s="360">
        <v>0</v>
      </c>
      <c r="G69" s="360">
        <v>0</v>
      </c>
      <c r="H69" s="360">
        <v>0</v>
      </c>
      <c r="I69" s="360">
        <v>0</v>
      </c>
      <c r="J69" s="360">
        <v>0</v>
      </c>
      <c r="K69" s="360">
        <v>0</v>
      </c>
      <c r="L69" s="360">
        <v>0</v>
      </c>
      <c r="M69" s="360">
        <v>0</v>
      </c>
      <c r="N69" s="360">
        <v>0</v>
      </c>
      <c r="O69" s="360">
        <v>0</v>
      </c>
      <c r="P69" s="360">
        <v>0</v>
      </c>
    </row>
    <row r="70" spans="1:16" ht="15.75">
      <c r="A70" s="118">
        <v>35</v>
      </c>
      <c r="B70" s="120" t="s">
        <v>218</v>
      </c>
      <c r="C70" s="221">
        <f aca="true" t="shared" si="9" ref="C70:C96">E70+G70</f>
        <v>1</v>
      </c>
      <c r="D70" s="373">
        <f t="shared" si="8"/>
        <v>0</v>
      </c>
      <c r="E70" s="220">
        <v>1</v>
      </c>
      <c r="F70" s="360">
        <v>0</v>
      </c>
      <c r="G70" s="360">
        <v>0</v>
      </c>
      <c r="H70" s="360">
        <v>0</v>
      </c>
      <c r="I70" s="360">
        <v>0</v>
      </c>
      <c r="J70" s="360">
        <v>0</v>
      </c>
      <c r="K70" s="360">
        <v>0</v>
      </c>
      <c r="L70" s="360">
        <v>0</v>
      </c>
      <c r="M70" s="220">
        <v>1</v>
      </c>
      <c r="N70" s="360">
        <v>0</v>
      </c>
      <c r="O70" s="360">
        <v>0</v>
      </c>
      <c r="P70" s="360">
        <v>0</v>
      </c>
    </row>
    <row r="71" spans="1:16" ht="15.75">
      <c r="A71" s="118">
        <v>36</v>
      </c>
      <c r="B71" s="121" t="s">
        <v>219</v>
      </c>
      <c r="C71" s="372">
        <f t="shared" si="9"/>
        <v>0</v>
      </c>
      <c r="D71" s="373">
        <f aca="true" t="shared" si="10" ref="D71:D96">F71+H71</f>
        <v>0</v>
      </c>
      <c r="E71" s="360">
        <v>0</v>
      </c>
      <c r="F71" s="360">
        <v>0</v>
      </c>
      <c r="G71" s="360">
        <v>0</v>
      </c>
      <c r="H71" s="360">
        <v>0</v>
      </c>
      <c r="I71" s="360">
        <v>0</v>
      </c>
      <c r="J71" s="360">
        <v>0</v>
      </c>
      <c r="K71" s="360">
        <v>0</v>
      </c>
      <c r="L71" s="360">
        <v>0</v>
      </c>
      <c r="M71" s="360">
        <v>0</v>
      </c>
      <c r="N71" s="360">
        <v>0</v>
      </c>
      <c r="O71" s="360">
        <v>0</v>
      </c>
      <c r="P71" s="360">
        <v>0</v>
      </c>
    </row>
    <row r="72" spans="1:16" ht="15.75">
      <c r="A72" s="118">
        <v>37</v>
      </c>
      <c r="B72" s="121" t="s">
        <v>220</v>
      </c>
      <c r="C72" s="372">
        <f aca="true" t="shared" si="11" ref="C72:D74">E72+G72</f>
        <v>0</v>
      </c>
      <c r="D72" s="373">
        <f t="shared" si="11"/>
        <v>0</v>
      </c>
      <c r="E72" s="360">
        <v>0</v>
      </c>
      <c r="F72" s="360">
        <v>0</v>
      </c>
      <c r="G72" s="360">
        <v>0</v>
      </c>
      <c r="H72" s="360">
        <v>0</v>
      </c>
      <c r="I72" s="360">
        <v>0</v>
      </c>
      <c r="J72" s="360">
        <v>0</v>
      </c>
      <c r="K72" s="360">
        <v>0</v>
      </c>
      <c r="L72" s="360">
        <v>0</v>
      </c>
      <c r="M72" s="360">
        <v>0</v>
      </c>
      <c r="N72" s="360">
        <v>0</v>
      </c>
      <c r="O72" s="360">
        <v>0</v>
      </c>
      <c r="P72" s="360">
        <v>0</v>
      </c>
    </row>
    <row r="73" spans="1:16" ht="15.75">
      <c r="A73" s="118">
        <v>38</v>
      </c>
      <c r="B73" s="121" t="s">
        <v>221</v>
      </c>
      <c r="C73" s="372">
        <f t="shared" si="11"/>
        <v>0</v>
      </c>
      <c r="D73" s="373">
        <f t="shared" si="11"/>
        <v>0</v>
      </c>
      <c r="E73" s="360">
        <v>0</v>
      </c>
      <c r="F73" s="360">
        <v>0</v>
      </c>
      <c r="G73" s="360">
        <v>0</v>
      </c>
      <c r="H73" s="360">
        <v>0</v>
      </c>
      <c r="I73" s="360">
        <v>0</v>
      </c>
      <c r="J73" s="360">
        <v>0</v>
      </c>
      <c r="K73" s="360">
        <v>0</v>
      </c>
      <c r="L73" s="360">
        <v>0</v>
      </c>
      <c r="M73" s="360">
        <v>0</v>
      </c>
      <c r="N73" s="360">
        <v>0</v>
      </c>
      <c r="O73" s="360">
        <v>0</v>
      </c>
      <c r="P73" s="360">
        <v>0</v>
      </c>
    </row>
    <row r="74" spans="1:16" ht="15.75">
      <c r="A74" s="118">
        <v>39</v>
      </c>
      <c r="B74" s="121" t="s">
        <v>222</v>
      </c>
      <c r="C74" s="372">
        <f t="shared" si="11"/>
        <v>0</v>
      </c>
      <c r="D74" s="373">
        <f t="shared" si="11"/>
        <v>0</v>
      </c>
      <c r="E74" s="360">
        <v>0</v>
      </c>
      <c r="F74" s="360">
        <v>0</v>
      </c>
      <c r="G74" s="360">
        <v>0</v>
      </c>
      <c r="H74" s="360">
        <v>0</v>
      </c>
      <c r="I74" s="360">
        <v>0</v>
      </c>
      <c r="J74" s="360">
        <v>0</v>
      </c>
      <c r="K74" s="360">
        <v>0</v>
      </c>
      <c r="L74" s="360">
        <v>0</v>
      </c>
      <c r="M74" s="360">
        <v>0</v>
      </c>
      <c r="N74" s="360">
        <v>0</v>
      </c>
      <c r="O74" s="360">
        <v>0</v>
      </c>
      <c r="P74" s="360">
        <v>0</v>
      </c>
    </row>
    <row r="75" spans="1:16" ht="15.75">
      <c r="A75" s="118">
        <v>40</v>
      </c>
      <c r="B75" s="121" t="s">
        <v>223</v>
      </c>
      <c r="C75" s="221">
        <f t="shared" si="9"/>
        <v>6</v>
      </c>
      <c r="D75" s="222">
        <f t="shared" si="10"/>
        <v>3</v>
      </c>
      <c r="E75" s="220">
        <v>6</v>
      </c>
      <c r="F75" s="220">
        <v>3</v>
      </c>
      <c r="G75" s="360">
        <v>0</v>
      </c>
      <c r="H75" s="360">
        <v>0</v>
      </c>
      <c r="I75" s="360">
        <v>0</v>
      </c>
      <c r="J75" s="360">
        <v>0</v>
      </c>
      <c r="K75" s="220">
        <v>5</v>
      </c>
      <c r="L75" s="220">
        <v>2</v>
      </c>
      <c r="M75" s="220">
        <v>1</v>
      </c>
      <c r="N75" s="220">
        <v>1</v>
      </c>
      <c r="O75" s="220">
        <v>1204022</v>
      </c>
      <c r="P75" s="220">
        <v>0</v>
      </c>
    </row>
    <row r="76" spans="1:16" ht="15.75">
      <c r="A76" s="118">
        <v>41</v>
      </c>
      <c r="B76" s="121" t="s">
        <v>224</v>
      </c>
      <c r="C76" s="372">
        <f t="shared" si="9"/>
        <v>0</v>
      </c>
      <c r="D76" s="373">
        <f t="shared" si="10"/>
        <v>0</v>
      </c>
      <c r="E76" s="360">
        <v>0</v>
      </c>
      <c r="F76" s="360">
        <v>0</v>
      </c>
      <c r="G76" s="360">
        <v>0</v>
      </c>
      <c r="H76" s="360">
        <v>0</v>
      </c>
      <c r="I76" s="360">
        <v>0</v>
      </c>
      <c r="J76" s="360">
        <v>0</v>
      </c>
      <c r="K76" s="360">
        <v>0</v>
      </c>
      <c r="L76" s="360">
        <v>0</v>
      </c>
      <c r="M76" s="360">
        <v>0</v>
      </c>
      <c r="N76" s="360">
        <v>0</v>
      </c>
      <c r="O76" s="360">
        <v>0</v>
      </c>
      <c r="P76" s="360">
        <v>0</v>
      </c>
    </row>
    <row r="77" spans="1:16" ht="15.75">
      <c r="A77" s="118">
        <v>42</v>
      </c>
      <c r="B77" s="121" t="s">
        <v>225</v>
      </c>
      <c r="C77" s="372">
        <f>E77+G77</f>
        <v>0</v>
      </c>
      <c r="D77" s="373">
        <f>F77+H77</f>
        <v>0</v>
      </c>
      <c r="E77" s="360">
        <v>0</v>
      </c>
      <c r="F77" s="360">
        <v>0</v>
      </c>
      <c r="G77" s="360">
        <v>0</v>
      </c>
      <c r="H77" s="360">
        <v>0</v>
      </c>
      <c r="I77" s="360">
        <v>0</v>
      </c>
      <c r="J77" s="360">
        <v>0</v>
      </c>
      <c r="K77" s="360">
        <v>0</v>
      </c>
      <c r="L77" s="360">
        <v>0</v>
      </c>
      <c r="M77" s="360">
        <v>0</v>
      </c>
      <c r="N77" s="360">
        <v>0</v>
      </c>
      <c r="O77" s="360">
        <v>0</v>
      </c>
      <c r="P77" s="360">
        <v>0</v>
      </c>
    </row>
    <row r="78" spans="1:16" ht="15.75">
      <c r="A78" s="118">
        <v>43</v>
      </c>
      <c r="B78" s="121" t="s">
        <v>226</v>
      </c>
      <c r="C78" s="372">
        <f>E78+G78</f>
        <v>0</v>
      </c>
      <c r="D78" s="373">
        <f>F78+H78</f>
        <v>0</v>
      </c>
      <c r="E78" s="360">
        <v>0</v>
      </c>
      <c r="F78" s="360">
        <v>0</v>
      </c>
      <c r="G78" s="360">
        <v>0</v>
      </c>
      <c r="H78" s="360">
        <v>0</v>
      </c>
      <c r="I78" s="360">
        <v>0</v>
      </c>
      <c r="J78" s="360">
        <v>0</v>
      </c>
      <c r="K78" s="360">
        <v>0</v>
      </c>
      <c r="L78" s="360">
        <v>0</v>
      </c>
      <c r="M78" s="360">
        <v>0</v>
      </c>
      <c r="N78" s="360">
        <v>0</v>
      </c>
      <c r="O78" s="360">
        <v>0</v>
      </c>
      <c r="P78" s="360">
        <v>0</v>
      </c>
    </row>
    <row r="79" spans="1:16" ht="15.75">
      <c r="A79" s="118">
        <v>44</v>
      </c>
      <c r="B79" s="121" t="s">
        <v>227</v>
      </c>
      <c r="C79" s="221"/>
      <c r="D79" s="222"/>
      <c r="E79" s="306"/>
      <c r="F79" s="306"/>
      <c r="G79" s="306"/>
      <c r="H79" s="306"/>
      <c r="I79" s="306"/>
      <c r="J79" s="306"/>
      <c r="K79" s="306"/>
      <c r="L79" s="306"/>
      <c r="M79" s="306"/>
      <c r="N79" s="306"/>
      <c r="O79" s="306"/>
      <c r="P79" s="306"/>
    </row>
    <row r="80" spans="1:16" s="95" customFormat="1" ht="15.75">
      <c r="A80" s="118">
        <v>45</v>
      </c>
      <c r="B80" s="122" t="s">
        <v>233</v>
      </c>
      <c r="C80" s="372">
        <f>E80+G80</f>
        <v>0</v>
      </c>
      <c r="D80" s="373">
        <f>F80+H80</f>
        <v>0</v>
      </c>
      <c r="E80" s="360">
        <v>0</v>
      </c>
      <c r="F80" s="360">
        <v>0</v>
      </c>
      <c r="G80" s="360">
        <v>0</v>
      </c>
      <c r="H80" s="360">
        <v>0</v>
      </c>
      <c r="I80" s="360">
        <v>0</v>
      </c>
      <c r="J80" s="360">
        <v>0</v>
      </c>
      <c r="K80" s="360">
        <v>0</v>
      </c>
      <c r="L80" s="360">
        <v>0</v>
      </c>
      <c r="M80" s="360">
        <v>0</v>
      </c>
      <c r="N80" s="360">
        <v>0</v>
      </c>
      <c r="O80" s="360">
        <v>0</v>
      </c>
      <c r="P80" s="360">
        <v>0</v>
      </c>
    </row>
    <row r="81" spans="1:16" s="95" customFormat="1" ht="15.75">
      <c r="A81" s="118">
        <v>46</v>
      </c>
      <c r="B81" s="122" t="s">
        <v>234</v>
      </c>
      <c r="C81" s="372">
        <f>E81+G81</f>
        <v>0</v>
      </c>
      <c r="D81" s="373">
        <f>F81+H81</f>
        <v>0</v>
      </c>
      <c r="E81" s="360">
        <v>0</v>
      </c>
      <c r="F81" s="360">
        <v>0</v>
      </c>
      <c r="G81" s="360">
        <v>0</v>
      </c>
      <c r="H81" s="360">
        <v>0</v>
      </c>
      <c r="I81" s="360">
        <v>0</v>
      </c>
      <c r="J81" s="360">
        <v>0</v>
      </c>
      <c r="K81" s="360">
        <v>0</v>
      </c>
      <c r="L81" s="360">
        <v>0</v>
      </c>
      <c r="M81" s="360">
        <v>0</v>
      </c>
      <c r="N81" s="360">
        <v>0</v>
      </c>
      <c r="O81" s="360">
        <v>0</v>
      </c>
      <c r="P81" s="360">
        <v>0</v>
      </c>
    </row>
    <row r="82" spans="1:16" s="95" customFormat="1" ht="15.75">
      <c r="A82" s="118">
        <v>47</v>
      </c>
      <c r="B82" s="122" t="s">
        <v>235</v>
      </c>
      <c r="C82" s="221">
        <f t="shared" si="9"/>
        <v>3</v>
      </c>
      <c r="D82" s="222">
        <f t="shared" si="10"/>
        <v>2</v>
      </c>
      <c r="E82" s="220">
        <v>3</v>
      </c>
      <c r="F82" s="220">
        <v>2</v>
      </c>
      <c r="G82" s="360">
        <v>0</v>
      </c>
      <c r="H82" s="360">
        <v>0</v>
      </c>
      <c r="I82" s="360">
        <v>0</v>
      </c>
      <c r="J82" s="360">
        <v>0</v>
      </c>
      <c r="K82" s="360">
        <v>0</v>
      </c>
      <c r="L82" s="360">
        <v>0</v>
      </c>
      <c r="M82" s="220">
        <f>1+2</f>
        <v>3</v>
      </c>
      <c r="N82" s="220">
        <f>1+1</f>
        <v>2</v>
      </c>
      <c r="O82" s="220"/>
      <c r="P82" s="307">
        <v>6354413940</v>
      </c>
    </row>
    <row r="83" spans="1:16" s="95" customFormat="1" ht="15.75">
      <c r="A83" s="118">
        <v>48</v>
      </c>
      <c r="B83" s="122" t="s">
        <v>236</v>
      </c>
      <c r="C83" s="221">
        <f t="shared" si="9"/>
        <v>1</v>
      </c>
      <c r="D83" s="373">
        <f>F83+H83</f>
        <v>0</v>
      </c>
      <c r="E83" s="220">
        <v>1</v>
      </c>
      <c r="F83" s="360">
        <v>0</v>
      </c>
      <c r="G83" s="360">
        <v>0</v>
      </c>
      <c r="H83" s="360">
        <v>0</v>
      </c>
      <c r="I83" s="360">
        <v>0</v>
      </c>
      <c r="J83" s="360">
        <v>0</v>
      </c>
      <c r="K83" s="220">
        <v>1</v>
      </c>
      <c r="L83" s="360">
        <v>0</v>
      </c>
      <c r="M83" s="360">
        <v>0</v>
      </c>
      <c r="N83" s="360">
        <v>0</v>
      </c>
      <c r="O83" s="220"/>
      <c r="P83" s="220"/>
    </row>
    <row r="84" spans="1:16" s="95" customFormat="1" ht="15.75">
      <c r="A84" s="118">
        <v>49</v>
      </c>
      <c r="B84" s="122" t="s">
        <v>237</v>
      </c>
      <c r="C84" s="372">
        <f t="shared" si="9"/>
        <v>0</v>
      </c>
      <c r="D84" s="373">
        <f t="shared" si="10"/>
        <v>0</v>
      </c>
      <c r="E84" s="360">
        <v>0</v>
      </c>
      <c r="F84" s="360">
        <v>0</v>
      </c>
      <c r="G84" s="360">
        <v>0</v>
      </c>
      <c r="H84" s="360">
        <v>0</v>
      </c>
      <c r="I84" s="360">
        <v>0</v>
      </c>
      <c r="J84" s="360">
        <v>0</v>
      </c>
      <c r="K84" s="360">
        <v>0</v>
      </c>
      <c r="L84" s="360">
        <v>0</v>
      </c>
      <c r="M84" s="360">
        <v>0</v>
      </c>
      <c r="N84" s="360">
        <v>0</v>
      </c>
      <c r="O84" s="360">
        <v>0</v>
      </c>
      <c r="P84" s="360">
        <v>0</v>
      </c>
    </row>
    <row r="85" spans="1:16" s="95" customFormat="1" ht="15.75">
      <c r="A85" s="118">
        <v>50</v>
      </c>
      <c r="B85" s="122" t="s">
        <v>238</v>
      </c>
      <c r="C85" s="221">
        <f t="shared" si="9"/>
        <v>2</v>
      </c>
      <c r="D85" s="222">
        <f t="shared" si="10"/>
        <v>2</v>
      </c>
      <c r="E85" s="220">
        <v>2</v>
      </c>
      <c r="F85" s="220">
        <v>2</v>
      </c>
      <c r="G85" s="360">
        <v>0</v>
      </c>
      <c r="H85" s="360">
        <v>0</v>
      </c>
      <c r="I85" s="220"/>
      <c r="J85" s="220"/>
      <c r="K85" s="220">
        <v>2</v>
      </c>
      <c r="L85" s="220">
        <v>2</v>
      </c>
      <c r="M85" s="220"/>
      <c r="N85" s="220"/>
      <c r="O85" s="220">
        <v>1376579.201</v>
      </c>
      <c r="P85" s="220">
        <v>1376579.201</v>
      </c>
    </row>
    <row r="86" spans="1:16" s="95" customFormat="1" ht="15.75">
      <c r="A86" s="118">
        <v>51</v>
      </c>
      <c r="B86" s="123" t="s">
        <v>239</v>
      </c>
      <c r="C86" s="372">
        <f t="shared" si="9"/>
        <v>0</v>
      </c>
      <c r="D86" s="373">
        <f t="shared" si="10"/>
        <v>0</v>
      </c>
      <c r="E86" s="360">
        <v>0</v>
      </c>
      <c r="F86" s="360">
        <v>0</v>
      </c>
      <c r="G86" s="360">
        <v>0</v>
      </c>
      <c r="H86" s="360">
        <v>0</v>
      </c>
      <c r="I86" s="360">
        <v>0</v>
      </c>
      <c r="J86" s="360">
        <v>0</v>
      </c>
      <c r="K86" s="360">
        <v>0</v>
      </c>
      <c r="L86" s="360">
        <v>0</v>
      </c>
      <c r="M86" s="360">
        <v>0</v>
      </c>
      <c r="N86" s="360">
        <v>0</v>
      </c>
      <c r="O86" s="360">
        <v>0</v>
      </c>
      <c r="P86" s="360">
        <v>0</v>
      </c>
    </row>
    <row r="87" spans="1:16" s="95" customFormat="1" ht="15.75">
      <c r="A87" s="118">
        <v>52</v>
      </c>
      <c r="B87" s="123" t="s">
        <v>240</v>
      </c>
      <c r="C87" s="372">
        <f t="shared" si="9"/>
        <v>0</v>
      </c>
      <c r="D87" s="373">
        <f t="shared" si="10"/>
        <v>0</v>
      </c>
      <c r="E87" s="360">
        <v>0</v>
      </c>
      <c r="F87" s="360">
        <v>0</v>
      </c>
      <c r="G87" s="360">
        <v>0</v>
      </c>
      <c r="H87" s="360">
        <v>0</v>
      </c>
      <c r="I87" s="360">
        <v>0</v>
      </c>
      <c r="J87" s="360">
        <v>0</v>
      </c>
      <c r="K87" s="360">
        <v>0</v>
      </c>
      <c r="L87" s="360">
        <v>0</v>
      </c>
      <c r="M87" s="360">
        <v>0</v>
      </c>
      <c r="N87" s="360">
        <v>0</v>
      </c>
      <c r="O87" s="360">
        <v>0</v>
      </c>
      <c r="P87" s="360">
        <v>0</v>
      </c>
    </row>
    <row r="88" spans="1:16" s="95" customFormat="1" ht="15.75">
      <c r="A88" s="118">
        <v>53</v>
      </c>
      <c r="B88" s="123" t="s">
        <v>241</v>
      </c>
      <c r="C88" s="221">
        <f t="shared" si="9"/>
        <v>1</v>
      </c>
      <c r="D88" s="222">
        <f t="shared" si="10"/>
        <v>0</v>
      </c>
      <c r="E88" s="220">
        <v>1</v>
      </c>
      <c r="F88" s="220">
        <v>0</v>
      </c>
      <c r="G88" s="220"/>
      <c r="H88" s="220"/>
      <c r="I88" s="220"/>
      <c r="J88" s="220"/>
      <c r="K88" s="220"/>
      <c r="L88" s="220"/>
      <c r="M88" s="220"/>
      <c r="N88" s="220"/>
      <c r="O88" s="220">
        <v>21455640</v>
      </c>
      <c r="P88" s="220"/>
    </row>
    <row r="89" spans="1:16" s="95" customFormat="1" ht="15.75">
      <c r="A89" s="118">
        <v>54</v>
      </c>
      <c r="B89" s="123" t="s">
        <v>242</v>
      </c>
      <c r="C89" s="221">
        <f t="shared" si="9"/>
        <v>1</v>
      </c>
      <c r="D89" s="222">
        <f t="shared" si="10"/>
        <v>0</v>
      </c>
      <c r="E89" s="220"/>
      <c r="F89" s="220"/>
      <c r="G89" s="220">
        <v>1</v>
      </c>
      <c r="H89" s="220"/>
      <c r="I89" s="220"/>
      <c r="J89" s="220"/>
      <c r="K89" s="220"/>
      <c r="L89" s="220"/>
      <c r="M89" s="220">
        <v>1</v>
      </c>
      <c r="N89" s="220"/>
      <c r="O89" s="220"/>
      <c r="P89" s="220"/>
    </row>
    <row r="90" spans="1:16" s="95" customFormat="1" ht="15.75">
      <c r="A90" s="118">
        <v>55</v>
      </c>
      <c r="B90" s="123" t="s">
        <v>243</v>
      </c>
      <c r="C90" s="372">
        <f t="shared" si="9"/>
        <v>0</v>
      </c>
      <c r="D90" s="373">
        <f t="shared" si="10"/>
        <v>0</v>
      </c>
      <c r="E90" s="360">
        <v>0</v>
      </c>
      <c r="F90" s="360">
        <v>0</v>
      </c>
      <c r="G90" s="360">
        <v>0</v>
      </c>
      <c r="H90" s="360">
        <v>0</v>
      </c>
      <c r="I90" s="360">
        <v>0</v>
      </c>
      <c r="J90" s="360">
        <v>0</v>
      </c>
      <c r="K90" s="360">
        <v>0</v>
      </c>
      <c r="L90" s="360">
        <v>0</v>
      </c>
      <c r="M90" s="360">
        <v>0</v>
      </c>
      <c r="N90" s="360">
        <v>0</v>
      </c>
      <c r="O90" s="360">
        <v>0</v>
      </c>
      <c r="P90" s="360">
        <v>0</v>
      </c>
    </row>
    <row r="91" spans="1:16" s="95" customFormat="1" ht="15.75">
      <c r="A91" s="118">
        <v>56</v>
      </c>
      <c r="B91" s="123" t="s">
        <v>244</v>
      </c>
      <c r="C91" s="372">
        <f t="shared" si="9"/>
        <v>0</v>
      </c>
      <c r="D91" s="373">
        <f t="shared" si="10"/>
        <v>0</v>
      </c>
      <c r="E91" s="360">
        <v>0</v>
      </c>
      <c r="F91" s="360">
        <v>0</v>
      </c>
      <c r="G91" s="360">
        <v>0</v>
      </c>
      <c r="H91" s="360">
        <v>0</v>
      </c>
      <c r="I91" s="360">
        <v>0</v>
      </c>
      <c r="J91" s="360">
        <v>0</v>
      </c>
      <c r="K91" s="360">
        <v>0</v>
      </c>
      <c r="L91" s="360">
        <v>0</v>
      </c>
      <c r="M91" s="360">
        <v>0</v>
      </c>
      <c r="N91" s="360">
        <v>0</v>
      </c>
      <c r="O91" s="360">
        <v>0</v>
      </c>
      <c r="P91" s="360">
        <v>0</v>
      </c>
    </row>
    <row r="92" spans="1:16" s="95" customFormat="1" ht="15.75">
      <c r="A92" s="118">
        <v>57</v>
      </c>
      <c r="B92" s="123" t="s">
        <v>245</v>
      </c>
      <c r="C92" s="372">
        <f t="shared" si="9"/>
        <v>0</v>
      </c>
      <c r="D92" s="373">
        <f t="shared" si="10"/>
        <v>0</v>
      </c>
      <c r="E92" s="360">
        <v>0</v>
      </c>
      <c r="F92" s="360">
        <v>0</v>
      </c>
      <c r="G92" s="360">
        <v>0</v>
      </c>
      <c r="H92" s="360">
        <v>0</v>
      </c>
      <c r="I92" s="360">
        <v>0</v>
      </c>
      <c r="J92" s="360">
        <v>0</v>
      </c>
      <c r="K92" s="360">
        <v>0</v>
      </c>
      <c r="L92" s="360">
        <v>0</v>
      </c>
      <c r="M92" s="360">
        <v>0</v>
      </c>
      <c r="N92" s="360">
        <v>0</v>
      </c>
      <c r="O92" s="360">
        <v>0</v>
      </c>
      <c r="P92" s="360">
        <v>0</v>
      </c>
    </row>
    <row r="93" spans="1:16" s="95" customFormat="1" ht="15.75">
      <c r="A93" s="118">
        <v>58</v>
      </c>
      <c r="B93" s="123" t="s">
        <v>246</v>
      </c>
      <c r="C93" s="221">
        <f t="shared" si="9"/>
        <v>2</v>
      </c>
      <c r="D93" s="222">
        <f t="shared" si="10"/>
        <v>1</v>
      </c>
      <c r="E93" s="220">
        <v>2</v>
      </c>
      <c r="F93" s="220">
        <v>1</v>
      </c>
      <c r="G93" s="360">
        <v>0</v>
      </c>
      <c r="H93" s="360">
        <v>0</v>
      </c>
      <c r="I93" s="360">
        <v>0</v>
      </c>
      <c r="J93" s="360">
        <v>0</v>
      </c>
      <c r="K93" s="360">
        <v>0</v>
      </c>
      <c r="L93" s="360">
        <v>0</v>
      </c>
      <c r="M93" s="220">
        <f>1+1+0</f>
        <v>2</v>
      </c>
      <c r="N93" s="220">
        <f>0+1+0</f>
        <v>1</v>
      </c>
      <c r="O93" s="220">
        <v>538290</v>
      </c>
      <c r="P93" s="220">
        <v>538290</v>
      </c>
    </row>
    <row r="94" spans="1:16" s="95" customFormat="1" ht="15.75">
      <c r="A94" s="118">
        <v>59</v>
      </c>
      <c r="B94" s="123" t="s">
        <v>247</v>
      </c>
      <c r="C94" s="372">
        <f t="shared" si="9"/>
        <v>0</v>
      </c>
      <c r="D94" s="373">
        <f t="shared" si="10"/>
        <v>0</v>
      </c>
      <c r="E94" s="360">
        <v>0</v>
      </c>
      <c r="F94" s="360">
        <v>0</v>
      </c>
      <c r="G94" s="360">
        <v>0</v>
      </c>
      <c r="H94" s="360">
        <v>0</v>
      </c>
      <c r="I94" s="360">
        <v>0</v>
      </c>
      <c r="J94" s="360">
        <v>0</v>
      </c>
      <c r="K94" s="360">
        <v>0</v>
      </c>
      <c r="L94" s="360">
        <v>0</v>
      </c>
      <c r="M94" s="360">
        <v>0</v>
      </c>
      <c r="N94" s="360">
        <v>0</v>
      </c>
      <c r="O94" s="360">
        <v>0</v>
      </c>
      <c r="P94" s="360">
        <v>0</v>
      </c>
    </row>
    <row r="95" spans="1:16" s="103" customFormat="1" ht="15.75">
      <c r="A95" s="118">
        <v>60</v>
      </c>
      <c r="B95" s="123" t="s">
        <v>248</v>
      </c>
      <c r="C95" s="372">
        <f>E95+G95</f>
        <v>0</v>
      </c>
      <c r="D95" s="373">
        <f>F95+H95</f>
        <v>0</v>
      </c>
      <c r="E95" s="360">
        <v>0</v>
      </c>
      <c r="F95" s="360">
        <v>0</v>
      </c>
      <c r="G95" s="360">
        <v>0</v>
      </c>
      <c r="H95" s="360">
        <v>0</v>
      </c>
      <c r="I95" s="360">
        <v>0</v>
      </c>
      <c r="J95" s="360">
        <v>0</v>
      </c>
      <c r="K95" s="360">
        <v>0</v>
      </c>
      <c r="L95" s="360">
        <v>0</v>
      </c>
      <c r="M95" s="360">
        <v>0</v>
      </c>
      <c r="N95" s="360">
        <v>0</v>
      </c>
      <c r="O95" s="360">
        <v>0</v>
      </c>
      <c r="P95" s="360">
        <v>0</v>
      </c>
    </row>
    <row r="96" spans="1:16" s="103" customFormat="1" ht="15.75">
      <c r="A96" s="118">
        <v>61</v>
      </c>
      <c r="B96" s="123" t="s">
        <v>249</v>
      </c>
      <c r="C96" s="372">
        <f t="shared" si="9"/>
        <v>0</v>
      </c>
      <c r="D96" s="373">
        <f t="shared" si="10"/>
        <v>0</v>
      </c>
      <c r="E96" s="360">
        <v>0</v>
      </c>
      <c r="F96" s="360">
        <v>0</v>
      </c>
      <c r="G96" s="360">
        <v>0</v>
      </c>
      <c r="H96" s="360">
        <v>0</v>
      </c>
      <c r="I96" s="360">
        <v>0</v>
      </c>
      <c r="J96" s="360">
        <v>0</v>
      </c>
      <c r="K96" s="360">
        <v>0</v>
      </c>
      <c r="L96" s="360">
        <v>0</v>
      </c>
      <c r="M96" s="360">
        <v>0</v>
      </c>
      <c r="N96" s="360">
        <v>0</v>
      </c>
      <c r="O96" s="360">
        <v>0</v>
      </c>
      <c r="P96" s="360">
        <v>0</v>
      </c>
    </row>
    <row r="97" spans="1:16" s="95" customFormat="1" ht="21" customHeight="1">
      <c r="A97" s="118">
        <v>62</v>
      </c>
      <c r="B97" s="123" t="s">
        <v>250</v>
      </c>
      <c r="C97" s="372">
        <f>E97+G97</f>
        <v>0</v>
      </c>
      <c r="D97" s="373">
        <f>F97+H97</f>
        <v>0</v>
      </c>
      <c r="E97" s="360">
        <v>0</v>
      </c>
      <c r="F97" s="360">
        <v>0</v>
      </c>
      <c r="G97" s="360">
        <v>0</v>
      </c>
      <c r="H97" s="360">
        <v>0</v>
      </c>
      <c r="I97" s="360">
        <v>0</v>
      </c>
      <c r="J97" s="360">
        <v>0</v>
      </c>
      <c r="K97" s="360">
        <v>0</v>
      </c>
      <c r="L97" s="360">
        <v>0</v>
      </c>
      <c r="M97" s="360">
        <v>0</v>
      </c>
      <c r="N97" s="360">
        <v>0</v>
      </c>
      <c r="O97" s="360">
        <v>0</v>
      </c>
      <c r="P97" s="360">
        <v>0</v>
      </c>
    </row>
    <row r="98" spans="1:16" s="103" customFormat="1" ht="15.75">
      <c r="A98" s="118">
        <v>63</v>
      </c>
      <c r="B98" s="123" t="s">
        <v>251</v>
      </c>
      <c r="C98" s="372">
        <f>E98+G98</f>
        <v>0</v>
      </c>
      <c r="D98" s="373">
        <f>F98+H98</f>
        <v>0</v>
      </c>
      <c r="E98" s="360">
        <v>0</v>
      </c>
      <c r="F98" s="360">
        <v>0</v>
      </c>
      <c r="G98" s="360">
        <v>0</v>
      </c>
      <c r="H98" s="360">
        <v>0</v>
      </c>
      <c r="I98" s="360">
        <v>0</v>
      </c>
      <c r="J98" s="360">
        <v>0</v>
      </c>
      <c r="K98" s="360">
        <v>0</v>
      </c>
      <c r="L98" s="360">
        <v>0</v>
      </c>
      <c r="M98" s="360">
        <v>0</v>
      </c>
      <c r="N98" s="360">
        <v>0</v>
      </c>
      <c r="O98" s="360">
        <v>0</v>
      </c>
      <c r="P98" s="360">
        <v>0</v>
      </c>
    </row>
    <row r="99" spans="5:16" ht="15.75" customHeight="1">
      <c r="E99" s="195"/>
      <c r="F99" s="195"/>
      <c r="G99" s="195"/>
      <c r="H99" s="195"/>
      <c r="I99" s="195"/>
      <c r="J99" s="195"/>
      <c r="K99" s="195"/>
      <c r="L99" s="195"/>
      <c r="M99" s="195"/>
      <c r="N99" s="195"/>
      <c r="O99" s="195"/>
      <c r="P99" s="195"/>
    </row>
    <row r="100" spans="5:16" ht="15.75" customHeight="1">
      <c r="E100" s="195"/>
      <c r="F100" s="195"/>
      <c r="G100" s="195"/>
      <c r="H100" s="195"/>
      <c r="I100" s="195"/>
      <c r="J100" s="195"/>
      <c r="K100" s="195"/>
      <c r="L100" s="195"/>
      <c r="M100" s="195"/>
      <c r="N100" s="195"/>
      <c r="O100" s="195"/>
      <c r="P100" s="195"/>
    </row>
    <row r="101" spans="1:19" s="153" customFormat="1" ht="12.75">
      <c r="A101" s="43"/>
      <c r="B101" s="43" t="s">
        <v>254</v>
      </c>
      <c r="C101" s="32" t="s">
        <v>311</v>
      </c>
      <c r="D101" s="43"/>
      <c r="E101" s="43"/>
      <c r="F101" s="43"/>
      <c r="G101" s="43"/>
      <c r="H101" s="43"/>
      <c r="I101" s="43"/>
      <c r="J101" s="43"/>
      <c r="K101" s="151"/>
      <c r="L101" s="43"/>
      <c r="M101" s="43"/>
      <c r="N101" s="43"/>
      <c r="O101" s="43"/>
      <c r="P101" s="43"/>
      <c r="Q101" s="43"/>
      <c r="R101" s="43"/>
      <c r="S101" s="152"/>
    </row>
    <row r="102" spans="1:18" s="150" customFormat="1" ht="12.75">
      <c r="A102" s="43"/>
      <c r="B102" s="43" t="s">
        <v>290</v>
      </c>
      <c r="C102" s="43" t="s">
        <v>291</v>
      </c>
      <c r="E102" s="43"/>
      <c r="F102" s="43"/>
      <c r="G102" s="43"/>
      <c r="H102" s="43"/>
      <c r="I102" s="43"/>
      <c r="J102" s="43"/>
      <c r="K102" s="151"/>
      <c r="L102" s="43"/>
      <c r="M102" s="43"/>
      <c r="N102" s="43"/>
      <c r="O102" s="43"/>
      <c r="P102" s="43"/>
      <c r="Q102" s="43"/>
      <c r="R102" s="43"/>
    </row>
    <row r="103" spans="1:17" s="150" customFormat="1" ht="12.75">
      <c r="A103" s="43"/>
      <c r="B103" s="156"/>
      <c r="C103" s="156" t="s">
        <v>281</v>
      </c>
      <c r="D103" s="157"/>
      <c r="E103" s="156"/>
      <c r="F103" s="156"/>
      <c r="G103" s="156"/>
      <c r="H103" s="156"/>
      <c r="I103" s="156"/>
      <c r="J103" s="156"/>
      <c r="K103" s="151"/>
      <c r="L103" s="43"/>
      <c r="M103" s="43"/>
      <c r="N103" s="43"/>
      <c r="O103" s="43"/>
      <c r="P103" s="43"/>
      <c r="Q103" s="43"/>
    </row>
    <row r="104" spans="1:17" s="150" customFormat="1" ht="12.75">
      <c r="A104" s="43"/>
      <c r="B104" s="227"/>
      <c r="C104" s="43" t="s">
        <v>258</v>
      </c>
      <c r="E104" s="43"/>
      <c r="F104" s="43"/>
      <c r="G104" s="43"/>
      <c r="H104" s="43"/>
      <c r="I104" s="43"/>
      <c r="J104" s="43"/>
      <c r="K104" s="151"/>
      <c r="L104" s="43"/>
      <c r="M104" s="43"/>
      <c r="N104" s="43"/>
      <c r="O104" s="43"/>
      <c r="P104" s="43"/>
      <c r="Q104" s="43"/>
    </row>
    <row r="105" spans="1:17" s="150" customFormat="1" ht="12.75">
      <c r="A105" s="43"/>
      <c r="B105" s="251"/>
      <c r="C105" s="43" t="s">
        <v>285</v>
      </c>
      <c r="D105" s="43"/>
      <c r="E105" s="43"/>
      <c r="F105" s="43"/>
      <c r="G105" s="43"/>
      <c r="H105" s="43"/>
      <c r="I105" s="43"/>
      <c r="J105" s="43"/>
      <c r="K105" s="43"/>
      <c r="L105" s="43"/>
      <c r="M105" s="43"/>
      <c r="N105" s="43"/>
      <c r="O105" s="43"/>
      <c r="P105" s="43"/>
      <c r="Q105" s="43"/>
    </row>
    <row r="106" spans="1:17" s="150" customFormat="1" ht="12.75">
      <c r="A106" s="43"/>
      <c r="B106" s="228"/>
      <c r="C106" s="43" t="s">
        <v>286</v>
      </c>
      <c r="D106" s="43"/>
      <c r="E106" s="43"/>
      <c r="F106" s="43"/>
      <c r="G106" s="43"/>
      <c r="H106" s="43"/>
      <c r="I106" s="43"/>
      <c r="J106" s="43"/>
      <c r="K106" s="43"/>
      <c r="L106" s="43"/>
      <c r="M106" s="43"/>
      <c r="N106" s="43"/>
      <c r="O106" s="43"/>
      <c r="P106" s="43"/>
      <c r="Q106" s="43"/>
    </row>
    <row r="107" spans="2:17" s="5" customFormat="1" ht="12.75">
      <c r="B107" s="252"/>
      <c r="C107" s="43" t="s">
        <v>288</v>
      </c>
      <c r="L107" s="16"/>
      <c r="Q107"/>
    </row>
    <row r="108" spans="3:10" s="32" customFormat="1" ht="12.75">
      <c r="C108" s="127"/>
      <c r="D108" s="127"/>
      <c r="E108" s="127"/>
      <c r="F108" s="127"/>
      <c r="G108" s="127"/>
      <c r="H108" s="127"/>
      <c r="I108" s="127"/>
      <c r="J108" s="127"/>
    </row>
  </sheetData>
  <sheetProtection/>
  <mergeCells count="17">
    <mergeCell ref="A4:P4"/>
    <mergeCell ref="M10:N10"/>
    <mergeCell ref="A8:B11"/>
    <mergeCell ref="E10:F10"/>
    <mergeCell ref="G10:H10"/>
    <mergeCell ref="E9:H9"/>
    <mergeCell ref="I9:N9"/>
    <mergeCell ref="A3:P3"/>
    <mergeCell ref="A14:B14"/>
    <mergeCell ref="I10:J10"/>
    <mergeCell ref="K10:L10"/>
    <mergeCell ref="C8:N8"/>
    <mergeCell ref="A13:B13"/>
    <mergeCell ref="C9:C11"/>
    <mergeCell ref="D9:D11"/>
    <mergeCell ref="O8:P10"/>
    <mergeCell ref="A12:B12"/>
  </mergeCells>
  <printOptions/>
  <pageMargins left="0.75" right="0.5" top="1" bottom="0.5"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BC318"/>
  <sheetViews>
    <sheetView zoomScale="90" zoomScaleNormal="90" zoomScalePageLayoutView="0" workbookViewId="0" topLeftCell="B1">
      <selection activeCell="R14" sqref="R14"/>
    </sheetView>
  </sheetViews>
  <sheetFormatPr defaultColWidth="9.140625" defaultRowHeight="12.75"/>
  <cols>
    <col min="1" max="1" width="3.28125" style="3" customWidth="1"/>
    <col min="2" max="2" width="17.57421875" style="29" customWidth="1"/>
    <col min="3" max="3" width="10.57421875" style="3" customWidth="1"/>
    <col min="4" max="4" width="7.28125" style="3" customWidth="1"/>
    <col min="5" max="5" width="10.57421875" style="3" customWidth="1"/>
    <col min="6" max="6" width="7.140625" style="2" customWidth="1"/>
    <col min="7" max="7" width="6.7109375" style="2" customWidth="1"/>
    <col min="8" max="8" width="6.8515625" style="2" customWidth="1"/>
    <col min="9" max="9" width="7.00390625" style="3" customWidth="1"/>
    <col min="10" max="10" width="8.7109375" style="3" customWidth="1"/>
    <col min="11" max="11" width="9.7109375" style="3" customWidth="1"/>
    <col min="12" max="12" width="7.8515625" style="3" customWidth="1"/>
    <col min="13" max="13" width="10.28125" style="3" customWidth="1"/>
    <col min="14" max="14" width="7.7109375" style="2" customWidth="1"/>
    <col min="15" max="15" width="6.7109375" style="2" customWidth="1"/>
    <col min="16" max="16" width="6.28125" style="2" customWidth="1"/>
    <col min="17" max="17" width="6.421875" style="62" customWidth="1"/>
    <col min="18" max="18" width="6.28125" style="62" customWidth="1"/>
    <col min="19" max="19" width="12.140625" style="6" bestFit="1" customWidth="1"/>
    <col min="20" max="16384" width="9.140625" style="6" customWidth="1"/>
  </cols>
  <sheetData>
    <row r="1" spans="1:18" ht="19.5" customHeight="1">
      <c r="A1" s="66" t="s">
        <v>7</v>
      </c>
      <c r="B1" s="116"/>
      <c r="C1" s="66"/>
      <c r="D1" s="66"/>
      <c r="E1" s="36"/>
      <c r="F1" s="36"/>
      <c r="G1" s="36"/>
      <c r="H1" s="36"/>
      <c r="I1" s="36"/>
      <c r="J1" s="36"/>
      <c r="K1" s="36"/>
      <c r="L1" s="36"/>
      <c r="M1" s="36"/>
      <c r="N1" s="36"/>
      <c r="O1" s="36"/>
      <c r="P1" s="36"/>
      <c r="Q1" s="36"/>
      <c r="R1" s="36"/>
    </row>
    <row r="2" spans="1:55" s="22" customFormat="1" ht="18.75">
      <c r="A2" s="401" t="s">
        <v>158</v>
      </c>
      <c r="B2" s="401"/>
      <c r="C2" s="401"/>
      <c r="D2" s="401"/>
      <c r="E2" s="401"/>
      <c r="F2" s="401"/>
      <c r="G2" s="401"/>
      <c r="H2" s="401"/>
      <c r="I2" s="401"/>
      <c r="J2" s="401"/>
      <c r="K2" s="401"/>
      <c r="L2" s="401"/>
      <c r="M2" s="401"/>
      <c r="N2" s="401"/>
      <c r="O2" s="401"/>
      <c r="P2" s="401"/>
      <c r="Q2" s="401"/>
      <c r="R2" s="401"/>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row>
    <row r="3" spans="1:55" s="22" customFormat="1" ht="18.75">
      <c r="A3" s="409" t="s">
        <v>157</v>
      </c>
      <c r="B3" s="409"/>
      <c r="C3" s="409"/>
      <c r="D3" s="409"/>
      <c r="E3" s="409"/>
      <c r="F3" s="409"/>
      <c r="G3" s="409"/>
      <c r="H3" s="409"/>
      <c r="I3" s="409"/>
      <c r="J3" s="409"/>
      <c r="K3" s="409"/>
      <c r="L3" s="409"/>
      <c r="M3" s="409"/>
      <c r="N3" s="409"/>
      <c r="O3" s="409"/>
      <c r="P3" s="409"/>
      <c r="Q3" s="409"/>
      <c r="R3" s="409"/>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row>
    <row r="4" spans="1:55" s="22" customFormat="1" ht="21.75" customHeight="1">
      <c r="A4" s="401" t="s">
        <v>297</v>
      </c>
      <c r="B4" s="402"/>
      <c r="C4" s="402"/>
      <c r="D4" s="402"/>
      <c r="E4" s="402"/>
      <c r="F4" s="402"/>
      <c r="G4" s="402"/>
      <c r="H4" s="402"/>
      <c r="I4" s="402"/>
      <c r="J4" s="402"/>
      <c r="K4" s="402"/>
      <c r="L4" s="402"/>
      <c r="M4" s="402"/>
      <c r="N4" s="402"/>
      <c r="O4" s="402"/>
      <c r="P4" s="402"/>
      <c r="Q4" s="402"/>
      <c r="R4" s="402"/>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row>
    <row r="5" spans="1:18" ht="15.75">
      <c r="A5" s="23"/>
      <c r="B5" s="23"/>
      <c r="C5" s="51"/>
      <c r="D5" s="51"/>
      <c r="E5" s="28"/>
      <c r="F5" s="28"/>
      <c r="G5" s="28"/>
      <c r="H5" s="28"/>
      <c r="I5" s="28"/>
      <c r="J5" s="28"/>
      <c r="K5" s="28"/>
      <c r="L5" s="28"/>
      <c r="M5" s="28"/>
      <c r="N5" s="28"/>
      <c r="O5" s="28"/>
      <c r="P5" s="28"/>
      <c r="Q5" s="28"/>
      <c r="R5" s="28"/>
    </row>
    <row r="6" spans="1:18" ht="15.75" customHeight="1">
      <c r="A6" s="4"/>
      <c r="B6" s="4"/>
      <c r="C6" s="52"/>
      <c r="D6" s="52"/>
      <c r="E6" s="28"/>
      <c r="F6" s="28"/>
      <c r="G6" s="28"/>
      <c r="H6" s="28"/>
      <c r="I6" s="28"/>
      <c r="J6" s="28"/>
      <c r="K6" s="28"/>
      <c r="L6" s="28"/>
      <c r="N6" s="28"/>
      <c r="O6" s="28"/>
      <c r="P6" s="56" t="s">
        <v>45</v>
      </c>
      <c r="Q6" s="114"/>
      <c r="R6" s="28"/>
    </row>
    <row r="7" spans="1:18" ht="26.25" customHeight="1">
      <c r="A7" s="422"/>
      <c r="B7" s="389"/>
      <c r="C7" s="388" t="s">
        <v>153</v>
      </c>
      <c r="D7" s="419"/>
      <c r="E7" s="419"/>
      <c r="F7" s="419"/>
      <c r="G7" s="419"/>
      <c r="H7" s="419"/>
      <c r="I7" s="419"/>
      <c r="J7" s="389"/>
      <c r="K7" s="416" t="s">
        <v>154</v>
      </c>
      <c r="L7" s="417"/>
      <c r="M7" s="417"/>
      <c r="N7" s="417"/>
      <c r="O7" s="417"/>
      <c r="P7" s="417"/>
      <c r="Q7" s="417"/>
      <c r="R7" s="418"/>
    </row>
    <row r="8" spans="1:18" ht="12.75" customHeight="1">
      <c r="A8" s="390"/>
      <c r="B8" s="391"/>
      <c r="C8" s="399" t="s">
        <v>36</v>
      </c>
      <c r="D8" s="399"/>
      <c r="E8" s="399"/>
      <c r="F8" s="411" t="s">
        <v>37</v>
      </c>
      <c r="G8" s="411"/>
      <c r="H8" s="411"/>
      <c r="I8" s="412"/>
      <c r="J8" s="396" t="s">
        <v>8</v>
      </c>
      <c r="K8" s="410" t="s">
        <v>39</v>
      </c>
      <c r="L8" s="411"/>
      <c r="M8" s="412"/>
      <c r="N8" s="410" t="s">
        <v>37</v>
      </c>
      <c r="O8" s="411"/>
      <c r="P8" s="411"/>
      <c r="Q8" s="412"/>
      <c r="R8" s="396" t="s">
        <v>8</v>
      </c>
    </row>
    <row r="9" spans="1:18" ht="12.75" customHeight="1">
      <c r="A9" s="390"/>
      <c r="B9" s="391"/>
      <c r="C9" s="399"/>
      <c r="D9" s="399"/>
      <c r="E9" s="399"/>
      <c r="F9" s="414"/>
      <c r="G9" s="414"/>
      <c r="H9" s="414"/>
      <c r="I9" s="415"/>
      <c r="J9" s="397"/>
      <c r="K9" s="423"/>
      <c r="L9" s="421"/>
      <c r="M9" s="424"/>
      <c r="N9" s="413"/>
      <c r="O9" s="414"/>
      <c r="P9" s="414"/>
      <c r="Q9" s="415"/>
      <c r="R9" s="397"/>
    </row>
    <row r="10" spans="1:18" ht="12.75" customHeight="1">
      <c r="A10" s="390"/>
      <c r="B10" s="391"/>
      <c r="C10" s="399"/>
      <c r="D10" s="399"/>
      <c r="E10" s="399"/>
      <c r="F10" s="411" t="s">
        <v>9</v>
      </c>
      <c r="G10" s="394" t="s">
        <v>44</v>
      </c>
      <c r="H10" s="420"/>
      <c r="I10" s="395"/>
      <c r="J10" s="397"/>
      <c r="K10" s="423"/>
      <c r="L10" s="421"/>
      <c r="M10" s="424"/>
      <c r="N10" s="410" t="s">
        <v>9</v>
      </c>
      <c r="O10" s="394" t="s">
        <v>44</v>
      </c>
      <c r="P10" s="420"/>
      <c r="Q10" s="395"/>
      <c r="R10" s="397"/>
    </row>
    <row r="11" spans="1:18" ht="31.5" customHeight="1">
      <c r="A11" s="390"/>
      <c r="B11" s="391"/>
      <c r="C11" s="399" t="s">
        <v>9</v>
      </c>
      <c r="D11" s="399" t="s">
        <v>44</v>
      </c>
      <c r="E11" s="399"/>
      <c r="F11" s="421"/>
      <c r="G11" s="394" t="s">
        <v>99</v>
      </c>
      <c r="H11" s="395"/>
      <c r="I11" s="396" t="s">
        <v>100</v>
      </c>
      <c r="J11" s="397"/>
      <c r="K11" s="399" t="s">
        <v>9</v>
      </c>
      <c r="L11" s="399" t="s">
        <v>44</v>
      </c>
      <c r="M11" s="399"/>
      <c r="N11" s="423"/>
      <c r="O11" s="394" t="s">
        <v>99</v>
      </c>
      <c r="P11" s="395"/>
      <c r="Q11" s="396" t="s">
        <v>282</v>
      </c>
      <c r="R11" s="397"/>
    </row>
    <row r="12" spans="1:18" ht="102.75" customHeight="1">
      <c r="A12" s="392"/>
      <c r="B12" s="393"/>
      <c r="C12" s="399"/>
      <c r="D12" s="82" t="s">
        <v>155</v>
      </c>
      <c r="E12" s="82" t="s">
        <v>292</v>
      </c>
      <c r="F12" s="414"/>
      <c r="G12" s="50" t="s">
        <v>9</v>
      </c>
      <c r="H12" s="50" t="s">
        <v>38</v>
      </c>
      <c r="I12" s="403"/>
      <c r="J12" s="403"/>
      <c r="K12" s="399"/>
      <c r="L12" s="82" t="s">
        <v>155</v>
      </c>
      <c r="M12" s="82" t="s">
        <v>292</v>
      </c>
      <c r="N12" s="413"/>
      <c r="O12" s="50" t="s">
        <v>9</v>
      </c>
      <c r="P12" s="50" t="s">
        <v>38</v>
      </c>
      <c r="Q12" s="403"/>
      <c r="R12" s="403"/>
    </row>
    <row r="13" spans="1:18" ht="12.75">
      <c r="A13" s="399" t="s">
        <v>40</v>
      </c>
      <c r="B13" s="399"/>
      <c r="C13" s="58">
        <v>1</v>
      </c>
      <c r="D13" s="58">
        <v>2</v>
      </c>
      <c r="E13" s="58">
        <v>3</v>
      </c>
      <c r="F13" s="58">
        <v>4</v>
      </c>
      <c r="G13" s="58">
        <v>5</v>
      </c>
      <c r="H13" s="58">
        <v>6</v>
      </c>
      <c r="I13" s="58">
        <v>7</v>
      </c>
      <c r="J13" s="58">
        <v>8</v>
      </c>
      <c r="K13" s="58">
        <v>9</v>
      </c>
      <c r="L13" s="58">
        <v>10</v>
      </c>
      <c r="M13" s="58">
        <v>11</v>
      </c>
      <c r="N13" s="58">
        <v>12</v>
      </c>
      <c r="O13" s="58">
        <v>13</v>
      </c>
      <c r="P13" s="58">
        <v>14</v>
      </c>
      <c r="Q13" s="58">
        <v>15</v>
      </c>
      <c r="R13" s="58">
        <v>16</v>
      </c>
    </row>
    <row r="14" spans="1:18" ht="32.25" customHeight="1">
      <c r="A14" s="425" t="s">
        <v>97</v>
      </c>
      <c r="B14" s="383"/>
      <c r="C14" s="133">
        <f aca="true" t="shared" si="0" ref="C14:R14">C15+C37</f>
        <v>28475581</v>
      </c>
      <c r="D14" s="133">
        <f t="shared" si="0"/>
        <v>36213</v>
      </c>
      <c r="E14" s="133">
        <f t="shared" si="0"/>
        <v>27432810</v>
      </c>
      <c r="F14" s="133">
        <f t="shared" si="0"/>
        <v>6505</v>
      </c>
      <c r="G14" s="133">
        <f t="shared" si="0"/>
        <v>2051</v>
      </c>
      <c r="H14" s="133">
        <f t="shared" si="0"/>
        <v>452</v>
      </c>
      <c r="I14" s="133">
        <f t="shared" si="0"/>
        <v>4357</v>
      </c>
      <c r="J14" s="191">
        <f t="shared" si="0"/>
        <v>3292</v>
      </c>
      <c r="K14" s="133">
        <f t="shared" si="0"/>
        <v>2005400</v>
      </c>
      <c r="L14" s="133">
        <f t="shared" si="0"/>
        <v>37738</v>
      </c>
      <c r="M14" s="133">
        <f t="shared" si="0"/>
        <v>1840219</v>
      </c>
      <c r="N14" s="133">
        <f t="shared" si="0"/>
        <v>10442</v>
      </c>
      <c r="O14" s="133">
        <f t="shared" si="0"/>
        <v>7138</v>
      </c>
      <c r="P14" s="133">
        <f t="shared" si="0"/>
        <v>1101</v>
      </c>
      <c r="Q14" s="133">
        <f t="shared" si="0"/>
        <v>3354</v>
      </c>
      <c r="R14" s="133">
        <f t="shared" si="0"/>
        <v>7438</v>
      </c>
    </row>
    <row r="15" spans="1:18" ht="30.75" customHeight="1">
      <c r="A15" s="383" t="s">
        <v>87</v>
      </c>
      <c r="B15" s="384"/>
      <c r="C15" s="134">
        <f aca="true" t="shared" si="1" ref="C15:R15">SUM(C16:C36)</f>
        <v>2395</v>
      </c>
      <c r="D15" s="134">
        <f t="shared" si="1"/>
        <v>549</v>
      </c>
      <c r="E15" s="134">
        <f t="shared" si="1"/>
        <v>1996</v>
      </c>
      <c r="F15" s="349">
        <f t="shared" si="1"/>
        <v>0</v>
      </c>
      <c r="G15" s="349">
        <f t="shared" si="1"/>
        <v>0</v>
      </c>
      <c r="H15" s="349">
        <f t="shared" si="1"/>
        <v>0</v>
      </c>
      <c r="I15" s="349">
        <f t="shared" si="1"/>
        <v>0</v>
      </c>
      <c r="J15" s="350">
        <f t="shared" si="1"/>
        <v>0</v>
      </c>
      <c r="K15" s="134">
        <f t="shared" si="1"/>
        <v>1300</v>
      </c>
      <c r="L15" s="134">
        <f t="shared" si="1"/>
        <v>1434</v>
      </c>
      <c r="M15" s="349">
        <f t="shared" si="1"/>
        <v>0</v>
      </c>
      <c r="N15" s="134">
        <f t="shared" si="1"/>
        <v>93</v>
      </c>
      <c r="O15" s="134">
        <f t="shared" si="1"/>
        <v>88</v>
      </c>
      <c r="P15" s="134">
        <f t="shared" si="1"/>
        <v>23</v>
      </c>
      <c r="Q15" s="134">
        <f t="shared" si="1"/>
        <v>5</v>
      </c>
      <c r="R15" s="134">
        <f t="shared" si="1"/>
        <v>88</v>
      </c>
    </row>
    <row r="16" spans="1:18" ht="12.75">
      <c r="A16" s="135">
        <v>1</v>
      </c>
      <c r="B16" s="182" t="s">
        <v>229</v>
      </c>
      <c r="C16" s="136"/>
      <c r="D16" s="137">
        <v>68</v>
      </c>
      <c r="E16" s="137"/>
      <c r="F16" s="138"/>
      <c r="G16" s="139"/>
      <c r="H16" s="140"/>
      <c r="I16" s="140"/>
      <c r="J16" s="193"/>
      <c r="K16" s="138"/>
      <c r="L16" s="140">
        <v>52</v>
      </c>
      <c r="M16" s="139"/>
      <c r="N16" s="138"/>
      <c r="O16" s="137"/>
      <c r="P16" s="140"/>
      <c r="Q16" s="139"/>
      <c r="R16" s="139"/>
    </row>
    <row r="17" spans="1:18" ht="12.75">
      <c r="A17" s="135">
        <v>2</v>
      </c>
      <c r="B17" s="182" t="s">
        <v>193</v>
      </c>
      <c r="C17" s="136"/>
      <c r="D17" s="141"/>
      <c r="E17" s="137"/>
      <c r="F17" s="138"/>
      <c r="G17" s="139"/>
      <c r="H17" s="139"/>
      <c r="I17" s="139"/>
      <c r="J17" s="194"/>
      <c r="K17" s="138"/>
      <c r="L17" s="140"/>
      <c r="M17" s="139"/>
      <c r="N17" s="138"/>
      <c r="O17" s="137"/>
      <c r="P17" s="140"/>
      <c r="Q17" s="139"/>
      <c r="R17" s="139"/>
    </row>
    <row r="18" spans="1:18" ht="25.5">
      <c r="A18" s="135">
        <v>3</v>
      </c>
      <c r="B18" s="182" t="s">
        <v>194</v>
      </c>
      <c r="C18" s="136"/>
      <c r="D18" s="141"/>
      <c r="E18" s="137"/>
      <c r="F18" s="138"/>
      <c r="G18" s="139"/>
      <c r="H18" s="140"/>
      <c r="I18" s="140"/>
      <c r="J18" s="193"/>
      <c r="K18" s="138"/>
      <c r="L18" s="140"/>
      <c r="M18" s="139"/>
      <c r="N18" s="138"/>
      <c r="O18" s="137"/>
      <c r="P18" s="140"/>
      <c r="Q18" s="139"/>
      <c r="R18" s="139"/>
    </row>
    <row r="19" spans="1:18" ht="25.5">
      <c r="A19" s="135">
        <v>4</v>
      </c>
      <c r="B19" s="182" t="s">
        <v>195</v>
      </c>
      <c r="C19" s="136"/>
      <c r="D19" s="141">
        <v>82</v>
      </c>
      <c r="E19" s="351">
        <v>0</v>
      </c>
      <c r="F19" s="352"/>
      <c r="G19" s="353">
        <v>0</v>
      </c>
      <c r="H19" s="354">
        <v>0</v>
      </c>
      <c r="I19" s="354">
        <v>0</v>
      </c>
      <c r="J19" s="355">
        <v>0</v>
      </c>
      <c r="K19" s="138"/>
      <c r="L19" s="140">
        <v>82</v>
      </c>
      <c r="M19" s="353">
        <v>0</v>
      </c>
      <c r="N19" s="138"/>
      <c r="O19" s="351">
        <v>0</v>
      </c>
      <c r="P19" s="354">
        <v>0</v>
      </c>
      <c r="Q19" s="353">
        <v>0</v>
      </c>
      <c r="R19" s="353">
        <v>0</v>
      </c>
    </row>
    <row r="20" spans="1:18" ht="25.5">
      <c r="A20" s="135">
        <v>5</v>
      </c>
      <c r="B20" s="182" t="s">
        <v>196</v>
      </c>
      <c r="C20" s="136"/>
      <c r="D20" s="141"/>
      <c r="E20" s="137"/>
      <c r="F20" s="138"/>
      <c r="G20" s="139"/>
      <c r="H20" s="140"/>
      <c r="I20" s="140"/>
      <c r="J20" s="193"/>
      <c r="K20" s="138"/>
      <c r="L20" s="140"/>
      <c r="M20" s="139"/>
      <c r="N20" s="138"/>
      <c r="O20" s="137"/>
      <c r="P20" s="140"/>
      <c r="Q20" s="139"/>
      <c r="R20" s="139"/>
    </row>
    <row r="21" spans="1:18" ht="25.5">
      <c r="A21" s="135">
        <v>6</v>
      </c>
      <c r="B21" s="182" t="s">
        <v>197</v>
      </c>
      <c r="C21" s="136"/>
      <c r="D21" s="141"/>
      <c r="E21" s="137"/>
      <c r="F21" s="138"/>
      <c r="G21" s="139"/>
      <c r="H21" s="140"/>
      <c r="I21" s="140"/>
      <c r="J21" s="193"/>
      <c r="K21" s="138"/>
      <c r="L21" s="140"/>
      <c r="M21" s="139"/>
      <c r="N21" s="138"/>
      <c r="O21" s="137"/>
      <c r="P21" s="140"/>
      <c r="Q21" s="139"/>
      <c r="R21" s="139"/>
    </row>
    <row r="22" spans="1:18" ht="38.25">
      <c r="A22" s="135">
        <v>7</v>
      </c>
      <c r="B22" s="182" t="s">
        <v>198</v>
      </c>
      <c r="C22" s="136"/>
      <c r="D22" s="141"/>
      <c r="E22" s="137"/>
      <c r="F22" s="138"/>
      <c r="G22" s="139"/>
      <c r="H22" s="140"/>
      <c r="I22" s="140"/>
      <c r="J22" s="193"/>
      <c r="K22" s="138"/>
      <c r="L22" s="140"/>
      <c r="M22" s="139"/>
      <c r="N22" s="138"/>
      <c r="O22" s="137"/>
      <c r="P22" s="137"/>
      <c r="Q22" s="137"/>
      <c r="R22" s="137"/>
    </row>
    <row r="23" spans="1:18" ht="12.75">
      <c r="A23" s="135">
        <v>8</v>
      </c>
      <c r="B23" s="182" t="s">
        <v>199</v>
      </c>
      <c r="C23" s="136"/>
      <c r="D23" s="141"/>
      <c r="E23" s="137"/>
      <c r="F23" s="138"/>
      <c r="G23" s="139"/>
      <c r="H23" s="140"/>
      <c r="I23" s="140"/>
      <c r="J23" s="193"/>
      <c r="K23" s="138"/>
      <c r="L23" s="140"/>
      <c r="M23" s="139"/>
      <c r="N23" s="138"/>
      <c r="O23" s="137"/>
      <c r="P23" s="140"/>
      <c r="Q23" s="139"/>
      <c r="R23" s="139"/>
    </row>
    <row r="24" spans="1:18" ht="12.75">
      <c r="A24" s="135">
        <v>9</v>
      </c>
      <c r="B24" s="182" t="s">
        <v>200</v>
      </c>
      <c r="C24" s="136"/>
      <c r="D24" s="140"/>
      <c r="E24" s="140"/>
      <c r="F24" s="138"/>
      <c r="G24" s="140"/>
      <c r="H24" s="140"/>
      <c r="I24" s="140"/>
      <c r="J24" s="193"/>
      <c r="K24" s="138"/>
      <c r="L24" s="140"/>
      <c r="M24" s="139"/>
      <c r="N24" s="138"/>
      <c r="O24" s="137"/>
      <c r="P24" s="140"/>
      <c r="Q24" s="139"/>
      <c r="R24" s="139"/>
    </row>
    <row r="25" spans="1:18" ht="25.5">
      <c r="A25" s="135">
        <v>10</v>
      </c>
      <c r="B25" s="182" t="s">
        <v>201</v>
      </c>
      <c r="C25" s="136"/>
      <c r="D25" s="141"/>
      <c r="E25" s="137"/>
      <c r="F25" s="138"/>
      <c r="G25" s="139"/>
      <c r="H25" s="139"/>
      <c r="I25" s="140"/>
      <c r="J25" s="194"/>
      <c r="K25" s="138"/>
      <c r="L25" s="140"/>
      <c r="M25" s="139"/>
      <c r="N25" s="138"/>
      <c r="O25" s="137"/>
      <c r="P25" s="140"/>
      <c r="Q25" s="139"/>
      <c r="R25" s="139"/>
    </row>
    <row r="26" spans="1:18" ht="15.75">
      <c r="A26" s="135">
        <v>11</v>
      </c>
      <c r="B26" s="182" t="s">
        <v>231</v>
      </c>
      <c r="C26" s="136">
        <f>D26+E26</f>
        <v>225</v>
      </c>
      <c r="D26" s="141">
        <v>225</v>
      </c>
      <c r="E26" s="351">
        <v>0</v>
      </c>
      <c r="F26" s="352">
        <f>G26+I26</f>
        <v>0</v>
      </c>
      <c r="G26" s="353">
        <v>0</v>
      </c>
      <c r="H26" s="354">
        <v>0</v>
      </c>
      <c r="I26" s="354">
        <v>0</v>
      </c>
      <c r="J26" s="355">
        <v>0</v>
      </c>
      <c r="K26" s="138">
        <f>L26+M26</f>
        <v>225</v>
      </c>
      <c r="L26" s="109">
        <v>225</v>
      </c>
      <c r="M26" s="346">
        <v>0</v>
      </c>
      <c r="N26" s="352">
        <f>O26+Q26</f>
        <v>0</v>
      </c>
      <c r="O26" s="356">
        <v>0</v>
      </c>
      <c r="P26" s="347">
        <v>0</v>
      </c>
      <c r="Q26" s="346">
        <v>0</v>
      </c>
      <c r="R26" s="346">
        <v>0</v>
      </c>
    </row>
    <row r="27" spans="1:18" ht="12.75">
      <c r="A27" s="135">
        <v>12</v>
      </c>
      <c r="B27" s="182" t="s">
        <v>185</v>
      </c>
      <c r="C27" s="136">
        <f>D27+E27</f>
        <v>2163</v>
      </c>
      <c r="D27" s="141">
        <v>167</v>
      </c>
      <c r="E27" s="137">
        <v>1996</v>
      </c>
      <c r="F27" s="352">
        <f>G27+I27</f>
        <v>0</v>
      </c>
      <c r="G27" s="353">
        <v>0</v>
      </c>
      <c r="H27" s="354">
        <v>0</v>
      </c>
      <c r="I27" s="354">
        <v>0</v>
      </c>
      <c r="J27" s="355">
        <v>0</v>
      </c>
      <c r="K27" s="138">
        <f>L27+M27</f>
        <v>681</v>
      </c>
      <c r="L27" s="140">
        <v>681</v>
      </c>
      <c r="M27" s="353">
        <v>0</v>
      </c>
      <c r="N27" s="138">
        <f>O27+Q27</f>
        <v>83</v>
      </c>
      <c r="O27" s="137">
        <v>83</v>
      </c>
      <c r="P27" s="140">
        <v>18</v>
      </c>
      <c r="Q27" s="353">
        <v>0</v>
      </c>
      <c r="R27" s="139">
        <v>83</v>
      </c>
    </row>
    <row r="28" spans="1:18" ht="25.5">
      <c r="A28" s="135">
        <v>13</v>
      </c>
      <c r="B28" s="182" t="s">
        <v>186</v>
      </c>
      <c r="C28" s="136"/>
      <c r="D28" s="141"/>
      <c r="E28" s="137"/>
      <c r="F28" s="138"/>
      <c r="G28" s="139"/>
      <c r="H28" s="140"/>
      <c r="I28" s="140"/>
      <c r="J28" s="193"/>
      <c r="K28" s="138"/>
      <c r="L28" s="140"/>
      <c r="M28" s="139"/>
      <c r="N28" s="138"/>
      <c r="O28" s="137"/>
      <c r="P28" s="140"/>
      <c r="Q28" s="139"/>
      <c r="R28" s="139"/>
    </row>
    <row r="29" spans="1:18" ht="25.5">
      <c r="A29" s="135">
        <v>14</v>
      </c>
      <c r="B29" s="182" t="s">
        <v>187</v>
      </c>
      <c r="C29" s="136"/>
      <c r="D29" s="141"/>
      <c r="E29" s="137"/>
      <c r="F29" s="138"/>
      <c r="G29" s="139"/>
      <c r="H29" s="140"/>
      <c r="I29" s="140"/>
      <c r="J29" s="193"/>
      <c r="K29" s="138"/>
      <c r="L29" s="140"/>
      <c r="M29" s="139"/>
      <c r="N29" s="138"/>
      <c r="O29" s="137"/>
      <c r="P29" s="140"/>
      <c r="Q29" s="139"/>
      <c r="R29" s="139"/>
    </row>
    <row r="30" spans="1:18" ht="12.75">
      <c r="A30" s="135">
        <v>15</v>
      </c>
      <c r="B30" s="159" t="s">
        <v>289</v>
      </c>
      <c r="C30" s="136"/>
      <c r="D30" s="141"/>
      <c r="E30" s="137"/>
      <c r="F30" s="138"/>
      <c r="G30" s="139"/>
      <c r="H30" s="140"/>
      <c r="I30" s="140"/>
      <c r="J30" s="193"/>
      <c r="K30" s="138"/>
      <c r="L30" s="140"/>
      <c r="M30" s="139"/>
      <c r="N30" s="138"/>
      <c r="O30" s="137"/>
      <c r="P30" s="140"/>
      <c r="Q30" s="139"/>
      <c r="R30" s="139"/>
    </row>
    <row r="31" spans="1:18" ht="25.5">
      <c r="A31" s="135">
        <v>16</v>
      </c>
      <c r="B31" s="182" t="s">
        <v>188</v>
      </c>
      <c r="C31" s="136">
        <f>D31+E31</f>
        <v>7</v>
      </c>
      <c r="D31" s="141">
        <v>7</v>
      </c>
      <c r="E31" s="351">
        <v>0</v>
      </c>
      <c r="F31" s="352">
        <f>G31+I31</f>
        <v>0</v>
      </c>
      <c r="G31" s="353">
        <v>0</v>
      </c>
      <c r="H31" s="354">
        <v>0</v>
      </c>
      <c r="I31" s="354">
        <v>0</v>
      </c>
      <c r="J31" s="355">
        <v>0</v>
      </c>
      <c r="K31" s="138">
        <f>L31+M31</f>
        <v>394</v>
      </c>
      <c r="L31" s="140">
        <v>394</v>
      </c>
      <c r="M31" s="353">
        <v>0</v>
      </c>
      <c r="N31" s="138">
        <f>O31+Q31</f>
        <v>10</v>
      </c>
      <c r="O31" s="137">
        <v>5</v>
      </c>
      <c r="P31" s="140">
        <v>5</v>
      </c>
      <c r="Q31" s="139">
        <v>5</v>
      </c>
      <c r="R31" s="139">
        <v>5</v>
      </c>
    </row>
    <row r="32" spans="1:18" ht="12.75">
      <c r="A32" s="135">
        <v>17</v>
      </c>
      <c r="B32" s="182" t="s">
        <v>189</v>
      </c>
      <c r="C32" s="136"/>
      <c r="D32" s="141"/>
      <c r="E32" s="137"/>
      <c r="F32" s="138"/>
      <c r="G32" s="139"/>
      <c r="H32" s="140"/>
      <c r="I32" s="140"/>
      <c r="J32" s="193"/>
      <c r="K32" s="138"/>
      <c r="L32" s="140"/>
      <c r="M32" s="139"/>
      <c r="N32" s="138"/>
      <c r="O32" s="137"/>
      <c r="P32" s="140"/>
      <c r="Q32" s="139"/>
      <c r="R32" s="139"/>
    </row>
    <row r="33" spans="1:18" ht="12.75">
      <c r="A33" s="135">
        <v>18</v>
      </c>
      <c r="B33" s="182" t="s">
        <v>228</v>
      </c>
      <c r="C33" s="136"/>
      <c r="D33" s="141"/>
      <c r="E33" s="137"/>
      <c r="F33" s="138"/>
      <c r="G33" s="139"/>
      <c r="H33" s="140"/>
      <c r="I33" s="140"/>
      <c r="J33" s="193"/>
      <c r="K33" s="138"/>
      <c r="L33" s="140"/>
      <c r="M33" s="139"/>
      <c r="N33" s="138"/>
      <c r="O33" s="142"/>
      <c r="P33" s="143"/>
      <c r="Q33" s="143"/>
      <c r="R33" s="143"/>
    </row>
    <row r="34" spans="1:18" ht="25.5">
      <c r="A34" s="135">
        <v>19</v>
      </c>
      <c r="B34" s="183" t="s">
        <v>190</v>
      </c>
      <c r="C34" s="136"/>
      <c r="D34" s="137"/>
      <c r="E34" s="137"/>
      <c r="F34" s="138"/>
      <c r="G34" s="139"/>
      <c r="H34" s="140"/>
      <c r="I34" s="140"/>
      <c r="J34" s="193"/>
      <c r="K34" s="138"/>
      <c r="L34" s="140"/>
      <c r="M34" s="139"/>
      <c r="N34" s="138"/>
      <c r="O34" s="137"/>
      <c r="P34" s="140"/>
      <c r="Q34" s="139"/>
      <c r="R34" s="139"/>
    </row>
    <row r="35" spans="1:18" ht="12.75">
      <c r="A35" s="135">
        <v>20</v>
      </c>
      <c r="B35" s="183" t="s">
        <v>191</v>
      </c>
      <c r="C35" s="136"/>
      <c r="D35" s="141"/>
      <c r="E35" s="137"/>
      <c r="F35" s="138"/>
      <c r="G35" s="139"/>
      <c r="H35" s="140"/>
      <c r="I35" s="140"/>
      <c r="J35" s="193"/>
      <c r="K35" s="138"/>
      <c r="L35" s="140"/>
      <c r="M35" s="139"/>
      <c r="N35" s="138"/>
      <c r="O35" s="137"/>
      <c r="P35" s="140"/>
      <c r="Q35" s="139"/>
      <c r="R35" s="139"/>
    </row>
    <row r="36" spans="1:18" ht="12.75">
      <c r="A36" s="135">
        <v>21</v>
      </c>
      <c r="B36" s="183" t="s">
        <v>192</v>
      </c>
      <c r="C36" s="136"/>
      <c r="D36" s="141"/>
      <c r="E36" s="137"/>
      <c r="F36" s="138"/>
      <c r="G36" s="139"/>
      <c r="H36" s="140"/>
      <c r="I36" s="140"/>
      <c r="J36" s="193"/>
      <c r="K36" s="138"/>
      <c r="L36" s="140"/>
      <c r="M36" s="139"/>
      <c r="N36" s="138"/>
      <c r="O36" s="137"/>
      <c r="P36" s="140"/>
      <c r="Q36" s="139"/>
      <c r="R36" s="139"/>
    </row>
    <row r="37" spans="1:18" s="10" customFormat="1" ht="21" customHeight="1">
      <c r="A37" s="383" t="s">
        <v>98</v>
      </c>
      <c r="B37" s="384"/>
      <c r="C37" s="134">
        <f aca="true" t="shared" si="2" ref="C37:R37">SUM(C38:C100)</f>
        <v>28473186</v>
      </c>
      <c r="D37" s="134">
        <f t="shared" si="2"/>
        <v>35664</v>
      </c>
      <c r="E37" s="134">
        <f t="shared" si="2"/>
        <v>27430814</v>
      </c>
      <c r="F37" s="134">
        <f t="shared" si="2"/>
        <v>6505</v>
      </c>
      <c r="G37" s="134">
        <f t="shared" si="2"/>
        <v>2051</v>
      </c>
      <c r="H37" s="134">
        <f t="shared" si="2"/>
        <v>452</v>
      </c>
      <c r="I37" s="134">
        <f t="shared" si="2"/>
        <v>4357</v>
      </c>
      <c r="J37" s="192">
        <f t="shared" si="2"/>
        <v>3292</v>
      </c>
      <c r="K37" s="134">
        <f t="shared" si="2"/>
        <v>2004100</v>
      </c>
      <c r="L37" s="134">
        <f t="shared" si="2"/>
        <v>36304</v>
      </c>
      <c r="M37" s="134">
        <f t="shared" si="2"/>
        <v>1840219</v>
      </c>
      <c r="N37" s="134">
        <f t="shared" si="2"/>
        <v>10349</v>
      </c>
      <c r="O37" s="134">
        <f t="shared" si="2"/>
        <v>7050</v>
      </c>
      <c r="P37" s="134">
        <f t="shared" si="2"/>
        <v>1078</v>
      </c>
      <c r="Q37" s="134">
        <f t="shared" si="2"/>
        <v>3349</v>
      </c>
      <c r="R37" s="134">
        <f t="shared" si="2"/>
        <v>7350</v>
      </c>
    </row>
    <row r="38" spans="1:18" ht="15.75">
      <c r="A38" s="144">
        <v>1</v>
      </c>
      <c r="B38" s="145" t="s">
        <v>168</v>
      </c>
      <c r="C38" s="196">
        <f>D38+E38</f>
        <v>25900</v>
      </c>
      <c r="D38" s="197">
        <v>1172</v>
      </c>
      <c r="E38" s="185">
        <v>24728</v>
      </c>
      <c r="F38" s="186">
        <f>G38+I38</f>
        <v>25</v>
      </c>
      <c r="G38" s="291">
        <v>7</v>
      </c>
      <c r="H38" s="291">
        <v>8</v>
      </c>
      <c r="I38" s="185">
        <v>18</v>
      </c>
      <c r="J38" s="185">
        <v>17</v>
      </c>
      <c r="K38" s="186">
        <f>L38+M38</f>
        <v>8261</v>
      </c>
      <c r="L38" s="185">
        <v>490</v>
      </c>
      <c r="M38" s="185">
        <v>7771</v>
      </c>
      <c r="N38" s="186">
        <f>O38+Q38</f>
        <v>81</v>
      </c>
      <c r="O38" s="185">
        <v>69</v>
      </c>
      <c r="P38" s="185">
        <v>8</v>
      </c>
      <c r="Q38" s="185">
        <v>12</v>
      </c>
      <c r="R38" s="185">
        <v>49</v>
      </c>
    </row>
    <row r="39" spans="1:18" ht="15.75">
      <c r="A39" s="144">
        <v>2</v>
      </c>
      <c r="B39" s="145" t="s">
        <v>253</v>
      </c>
      <c r="C39" s="196">
        <f aca="true" t="shared" si="3" ref="C39:C100">D39+E39</f>
        <v>16258</v>
      </c>
      <c r="D39" s="197">
        <v>373</v>
      </c>
      <c r="E39" s="185">
        <v>15885</v>
      </c>
      <c r="F39" s="186">
        <v>55</v>
      </c>
      <c r="G39" s="291">
        <v>19</v>
      </c>
      <c r="H39" s="185">
        <v>2</v>
      </c>
      <c r="I39" s="357">
        <v>0</v>
      </c>
      <c r="J39" s="185">
        <v>52</v>
      </c>
      <c r="K39" s="186">
        <f aca="true" t="shared" si="4" ref="K39:K100">L39+M39</f>
        <v>6192</v>
      </c>
      <c r="L39" s="185">
        <v>239</v>
      </c>
      <c r="M39" s="185">
        <v>5953</v>
      </c>
      <c r="N39" s="186">
        <f aca="true" t="shared" si="5" ref="N39:N56">O39+Q39</f>
        <v>77</v>
      </c>
      <c r="O39" s="185">
        <v>77</v>
      </c>
      <c r="P39" s="354">
        <v>0</v>
      </c>
      <c r="Q39" s="354">
        <v>0</v>
      </c>
      <c r="R39" s="185">
        <v>75</v>
      </c>
    </row>
    <row r="40" spans="1:18" ht="15.75">
      <c r="A40" s="144">
        <v>3</v>
      </c>
      <c r="B40" s="145" t="s">
        <v>169</v>
      </c>
      <c r="C40" s="196">
        <f t="shared" si="3"/>
        <v>352</v>
      </c>
      <c r="D40" s="197">
        <v>326</v>
      </c>
      <c r="E40" s="185">
        <v>26</v>
      </c>
      <c r="F40" s="186">
        <f aca="true" t="shared" si="6" ref="F40:F100">G40+I40</f>
        <v>59</v>
      </c>
      <c r="G40" s="185">
        <v>34</v>
      </c>
      <c r="H40" s="185">
        <v>5</v>
      </c>
      <c r="I40" s="185">
        <v>25</v>
      </c>
      <c r="J40" s="185">
        <v>41</v>
      </c>
      <c r="K40" s="186">
        <f t="shared" si="4"/>
        <v>324</v>
      </c>
      <c r="L40" s="185">
        <v>276</v>
      </c>
      <c r="M40" s="185">
        <v>48</v>
      </c>
      <c r="N40" s="186">
        <f t="shared" si="5"/>
        <v>166</v>
      </c>
      <c r="O40" s="185">
        <v>118</v>
      </c>
      <c r="P40" s="185">
        <v>40</v>
      </c>
      <c r="Q40" s="185">
        <v>48</v>
      </c>
      <c r="R40" s="185">
        <v>147</v>
      </c>
    </row>
    <row r="41" spans="1:18" ht="15.75">
      <c r="A41" s="144">
        <v>4</v>
      </c>
      <c r="B41" s="145" t="s">
        <v>170</v>
      </c>
      <c r="C41" s="196">
        <f t="shared" si="3"/>
        <v>1516</v>
      </c>
      <c r="D41" s="197">
        <v>523</v>
      </c>
      <c r="E41" s="185">
        <v>993</v>
      </c>
      <c r="F41" s="293">
        <f t="shared" si="6"/>
        <v>17</v>
      </c>
      <c r="G41" s="185">
        <v>17</v>
      </c>
      <c r="H41" s="185">
        <v>2</v>
      </c>
      <c r="I41" s="354">
        <v>0</v>
      </c>
      <c r="J41" s="291">
        <v>25</v>
      </c>
      <c r="K41" s="186">
        <v>591</v>
      </c>
      <c r="L41" s="291">
        <v>463</v>
      </c>
      <c r="M41" s="291">
        <v>83</v>
      </c>
      <c r="N41" s="186">
        <f>O41+Q41</f>
        <v>284</v>
      </c>
      <c r="O41" s="185">
        <v>220</v>
      </c>
      <c r="P41" s="185">
        <v>75</v>
      </c>
      <c r="Q41" s="185">
        <v>64</v>
      </c>
      <c r="R41" s="185">
        <v>132</v>
      </c>
    </row>
    <row r="42" spans="1:18" ht="15.75">
      <c r="A42" s="144">
        <v>5</v>
      </c>
      <c r="B42" s="145" t="s">
        <v>171</v>
      </c>
      <c r="C42" s="196">
        <f t="shared" si="3"/>
        <v>7665</v>
      </c>
      <c r="D42" s="197">
        <v>162</v>
      </c>
      <c r="E42" s="185">
        <v>7503</v>
      </c>
      <c r="F42" s="186">
        <f t="shared" si="6"/>
        <v>34</v>
      </c>
      <c r="G42" s="185">
        <v>21</v>
      </c>
      <c r="H42" s="354">
        <v>0</v>
      </c>
      <c r="I42" s="185">
        <v>13</v>
      </c>
      <c r="J42" s="185">
        <v>24</v>
      </c>
      <c r="K42" s="186">
        <f t="shared" si="4"/>
        <v>251</v>
      </c>
      <c r="L42" s="185">
        <v>104</v>
      </c>
      <c r="M42" s="185">
        <v>147</v>
      </c>
      <c r="N42" s="186">
        <f t="shared" si="5"/>
        <v>45</v>
      </c>
      <c r="O42" s="185">
        <v>38</v>
      </c>
      <c r="P42" s="185">
        <v>8</v>
      </c>
      <c r="Q42" s="185">
        <v>7</v>
      </c>
      <c r="R42" s="185">
        <v>18</v>
      </c>
    </row>
    <row r="43" spans="1:18" ht="15.75">
      <c r="A43" s="144">
        <v>6</v>
      </c>
      <c r="B43" s="321" t="s">
        <v>172</v>
      </c>
      <c r="C43" s="338"/>
      <c r="D43" s="339"/>
      <c r="E43" s="340"/>
      <c r="F43" s="341"/>
      <c r="G43" s="340"/>
      <c r="H43" s="340"/>
      <c r="I43" s="340"/>
      <c r="J43" s="340"/>
      <c r="K43" s="341"/>
      <c r="L43" s="340"/>
      <c r="M43" s="340"/>
      <c r="N43" s="341"/>
      <c r="O43" s="340"/>
      <c r="P43" s="340"/>
      <c r="Q43" s="340"/>
      <c r="R43" s="340"/>
    </row>
    <row r="44" spans="1:18" ht="15.75">
      <c r="A44" s="144">
        <v>7</v>
      </c>
      <c r="B44" s="145" t="s">
        <v>173</v>
      </c>
      <c r="C44" s="196">
        <f t="shared" si="3"/>
        <v>1705</v>
      </c>
      <c r="D44" s="197">
        <v>839</v>
      </c>
      <c r="E44" s="185">
        <v>866</v>
      </c>
      <c r="F44" s="186">
        <f t="shared" si="6"/>
        <v>17</v>
      </c>
      <c r="G44" s="185">
        <v>17</v>
      </c>
      <c r="H44" s="185">
        <v>2</v>
      </c>
      <c r="I44" s="354">
        <v>0</v>
      </c>
      <c r="J44" s="185">
        <v>17</v>
      </c>
      <c r="K44" s="186">
        <f t="shared" si="4"/>
        <v>766</v>
      </c>
      <c r="L44" s="185">
        <v>685</v>
      </c>
      <c r="M44" s="185">
        <v>81</v>
      </c>
      <c r="N44" s="186">
        <f t="shared" si="5"/>
        <v>67</v>
      </c>
      <c r="O44" s="185">
        <v>67</v>
      </c>
      <c r="P44" s="185">
        <v>6</v>
      </c>
      <c r="Q44" s="354">
        <v>0</v>
      </c>
      <c r="R44" s="185">
        <v>66</v>
      </c>
    </row>
    <row r="45" spans="1:18" ht="15.75">
      <c r="A45" s="144">
        <v>8</v>
      </c>
      <c r="B45" s="145" t="s">
        <v>174</v>
      </c>
      <c r="C45" s="196">
        <f t="shared" si="3"/>
        <v>30391</v>
      </c>
      <c r="D45" s="197">
        <v>1204</v>
      </c>
      <c r="E45" s="185">
        <v>29187</v>
      </c>
      <c r="F45" s="186">
        <f t="shared" si="6"/>
        <v>20</v>
      </c>
      <c r="G45" s="185">
        <v>10</v>
      </c>
      <c r="H45" s="185">
        <v>7</v>
      </c>
      <c r="I45" s="185">
        <v>10</v>
      </c>
      <c r="J45" s="185">
        <v>14</v>
      </c>
      <c r="K45" s="186">
        <f t="shared" si="4"/>
        <v>865</v>
      </c>
      <c r="L45" s="185">
        <v>851</v>
      </c>
      <c r="M45" s="185">
        <v>14</v>
      </c>
      <c r="N45" s="186">
        <f t="shared" si="5"/>
        <v>48</v>
      </c>
      <c r="O45" s="185">
        <v>40</v>
      </c>
      <c r="P45" s="185">
        <v>6</v>
      </c>
      <c r="Q45" s="185">
        <v>8</v>
      </c>
      <c r="R45" s="185">
        <v>47</v>
      </c>
    </row>
    <row r="46" spans="1:18" ht="15.75">
      <c r="A46" s="144">
        <v>9</v>
      </c>
      <c r="B46" s="145" t="s">
        <v>175</v>
      </c>
      <c r="C46" s="196">
        <f t="shared" si="3"/>
        <v>16881</v>
      </c>
      <c r="D46" s="197">
        <v>569</v>
      </c>
      <c r="E46" s="185">
        <v>16312</v>
      </c>
      <c r="F46" s="186">
        <f t="shared" si="6"/>
        <v>109</v>
      </c>
      <c r="G46" s="185">
        <v>93</v>
      </c>
      <c r="H46" s="185">
        <v>17</v>
      </c>
      <c r="I46" s="185">
        <v>16</v>
      </c>
      <c r="J46" s="185">
        <v>81</v>
      </c>
      <c r="K46" s="186">
        <f t="shared" si="4"/>
        <v>590</v>
      </c>
      <c r="L46" s="185">
        <v>562</v>
      </c>
      <c r="M46" s="185">
        <v>28</v>
      </c>
      <c r="N46" s="186">
        <f t="shared" si="5"/>
        <v>131</v>
      </c>
      <c r="O46" s="185">
        <v>120</v>
      </c>
      <c r="P46" s="185">
        <v>53</v>
      </c>
      <c r="Q46" s="185">
        <v>11</v>
      </c>
      <c r="R46" s="185">
        <v>114</v>
      </c>
    </row>
    <row r="47" spans="1:18" ht="15.75">
      <c r="A47" s="144">
        <v>10</v>
      </c>
      <c r="B47" s="145" t="s">
        <v>176</v>
      </c>
      <c r="C47" s="196">
        <f t="shared" si="3"/>
        <v>439</v>
      </c>
      <c r="D47" s="197">
        <v>318</v>
      </c>
      <c r="E47" s="185">
        <v>121</v>
      </c>
      <c r="F47" s="358">
        <f t="shared" si="6"/>
        <v>0</v>
      </c>
      <c r="G47" s="357">
        <v>0</v>
      </c>
      <c r="H47" s="291">
        <v>5</v>
      </c>
      <c r="I47" s="357">
        <v>0</v>
      </c>
      <c r="J47" s="291">
        <v>24</v>
      </c>
      <c r="K47" s="186">
        <f t="shared" si="4"/>
        <v>627</v>
      </c>
      <c r="L47" s="185">
        <v>627</v>
      </c>
      <c r="M47" s="360">
        <v>0</v>
      </c>
      <c r="N47" s="359">
        <f t="shared" si="5"/>
        <v>0</v>
      </c>
      <c r="O47" s="357">
        <v>0</v>
      </c>
      <c r="P47" s="291">
        <v>2</v>
      </c>
      <c r="Q47" s="357">
        <v>0</v>
      </c>
      <c r="R47" s="291">
        <v>65</v>
      </c>
    </row>
    <row r="48" spans="1:18" ht="15.75">
      <c r="A48" s="144">
        <v>11</v>
      </c>
      <c r="B48" s="145" t="s">
        <v>177</v>
      </c>
      <c r="C48" s="196">
        <f t="shared" si="3"/>
        <v>40726</v>
      </c>
      <c r="D48" s="197">
        <v>1049</v>
      </c>
      <c r="E48" s="185">
        <v>39677</v>
      </c>
      <c r="F48" s="186">
        <f t="shared" si="6"/>
        <v>100</v>
      </c>
      <c r="G48" s="185">
        <v>41</v>
      </c>
      <c r="H48" s="185">
        <v>11</v>
      </c>
      <c r="I48" s="185">
        <v>59</v>
      </c>
      <c r="J48" s="185">
        <v>88</v>
      </c>
      <c r="K48" s="186">
        <f t="shared" si="4"/>
        <v>25104</v>
      </c>
      <c r="L48" s="185">
        <v>722</v>
      </c>
      <c r="M48" s="185">
        <v>24382</v>
      </c>
      <c r="N48" s="186">
        <f t="shared" si="5"/>
        <v>82</v>
      </c>
      <c r="O48" s="291">
        <v>42</v>
      </c>
      <c r="P48" s="185">
        <v>15</v>
      </c>
      <c r="Q48" s="291">
        <v>40</v>
      </c>
      <c r="R48" s="185">
        <v>73</v>
      </c>
    </row>
    <row r="49" spans="1:18" ht="15.75">
      <c r="A49" s="144">
        <v>12</v>
      </c>
      <c r="B49" s="145" t="s">
        <v>178</v>
      </c>
      <c r="C49" s="196">
        <f t="shared" si="3"/>
        <v>43</v>
      </c>
      <c r="D49" s="197">
        <v>43</v>
      </c>
      <c r="E49" s="354">
        <v>0</v>
      </c>
      <c r="F49" s="186">
        <f>G49+I49</f>
        <v>8</v>
      </c>
      <c r="G49" s="185">
        <v>8</v>
      </c>
      <c r="H49" s="185">
        <v>3</v>
      </c>
      <c r="I49" s="354">
        <v>0</v>
      </c>
      <c r="J49" s="185">
        <v>7</v>
      </c>
      <c r="K49" s="186">
        <f t="shared" si="4"/>
        <v>258</v>
      </c>
      <c r="L49" s="185">
        <v>258</v>
      </c>
      <c r="M49" s="360">
        <v>0</v>
      </c>
      <c r="N49" s="186">
        <f t="shared" si="5"/>
        <v>174</v>
      </c>
      <c r="O49" s="185">
        <v>174</v>
      </c>
      <c r="P49" s="360">
        <v>0</v>
      </c>
      <c r="Q49" s="360">
        <v>0</v>
      </c>
      <c r="R49" s="185">
        <v>174</v>
      </c>
    </row>
    <row r="50" spans="1:18" ht="15.75">
      <c r="A50" s="144">
        <v>13</v>
      </c>
      <c r="B50" s="145" t="s">
        <v>179</v>
      </c>
      <c r="C50" s="196">
        <f t="shared" si="3"/>
        <v>4877</v>
      </c>
      <c r="D50" s="279">
        <v>162</v>
      </c>
      <c r="E50" s="279">
        <v>4715</v>
      </c>
      <c r="F50" s="186">
        <f t="shared" si="6"/>
        <v>15</v>
      </c>
      <c r="G50" s="185">
        <v>15</v>
      </c>
      <c r="H50" s="185">
        <v>1</v>
      </c>
      <c r="I50" s="354">
        <v>0</v>
      </c>
      <c r="J50" s="185">
        <v>14</v>
      </c>
      <c r="K50" s="186">
        <f t="shared" si="4"/>
        <v>701</v>
      </c>
      <c r="L50" s="185">
        <v>29</v>
      </c>
      <c r="M50" s="185">
        <v>672</v>
      </c>
      <c r="N50" s="186">
        <f t="shared" si="5"/>
        <v>55</v>
      </c>
      <c r="O50" s="357">
        <v>0</v>
      </c>
      <c r="P50" s="291">
        <v>1</v>
      </c>
      <c r="Q50" s="185">
        <v>55</v>
      </c>
      <c r="R50" s="185">
        <v>55</v>
      </c>
    </row>
    <row r="51" spans="1:18" ht="15.75">
      <c r="A51" s="144">
        <v>14</v>
      </c>
      <c r="B51" s="145" t="s">
        <v>180</v>
      </c>
      <c r="C51" s="277">
        <f t="shared" si="3"/>
        <v>3509</v>
      </c>
      <c r="D51" s="185">
        <v>63</v>
      </c>
      <c r="E51" s="185">
        <v>3446</v>
      </c>
      <c r="F51" s="278">
        <f>G51+I51</f>
        <v>6</v>
      </c>
      <c r="G51" s="185">
        <v>5</v>
      </c>
      <c r="H51" s="185">
        <v>2</v>
      </c>
      <c r="I51" s="185">
        <v>1</v>
      </c>
      <c r="J51" s="185">
        <v>1</v>
      </c>
      <c r="K51" s="186">
        <f t="shared" si="4"/>
        <v>138</v>
      </c>
      <c r="L51" s="185">
        <v>27</v>
      </c>
      <c r="M51" s="185">
        <v>111</v>
      </c>
      <c r="N51" s="186">
        <f t="shared" si="5"/>
        <v>20</v>
      </c>
      <c r="O51" s="185">
        <v>10</v>
      </c>
      <c r="P51" s="185">
        <v>10</v>
      </c>
      <c r="Q51" s="185">
        <v>10</v>
      </c>
      <c r="R51" s="185">
        <v>15</v>
      </c>
    </row>
    <row r="52" spans="1:18" ht="15.75">
      <c r="A52" s="144">
        <v>15</v>
      </c>
      <c r="B52" s="145" t="s">
        <v>181</v>
      </c>
      <c r="C52" s="196">
        <f t="shared" si="3"/>
        <v>62</v>
      </c>
      <c r="D52" s="262">
        <v>52</v>
      </c>
      <c r="E52" s="185">
        <v>10</v>
      </c>
      <c r="F52" s="186">
        <f t="shared" si="6"/>
        <v>36</v>
      </c>
      <c r="G52" s="185">
        <v>35</v>
      </c>
      <c r="H52" s="185">
        <v>8</v>
      </c>
      <c r="I52" s="185">
        <v>1</v>
      </c>
      <c r="J52" s="185">
        <v>3</v>
      </c>
      <c r="K52" s="186">
        <f t="shared" si="4"/>
        <v>7</v>
      </c>
      <c r="L52" s="185">
        <v>6</v>
      </c>
      <c r="M52" s="185">
        <v>1</v>
      </c>
      <c r="N52" s="186">
        <f t="shared" si="5"/>
        <v>2</v>
      </c>
      <c r="O52" s="291">
        <v>1</v>
      </c>
      <c r="P52" s="291">
        <v>2</v>
      </c>
      <c r="Q52" s="185">
        <v>1</v>
      </c>
      <c r="R52" s="185">
        <v>1</v>
      </c>
    </row>
    <row r="53" spans="1:18" ht="15.75">
      <c r="A53" s="144">
        <v>16</v>
      </c>
      <c r="B53" s="145" t="s">
        <v>182</v>
      </c>
      <c r="C53" s="196">
        <f t="shared" si="3"/>
        <v>140</v>
      </c>
      <c r="D53" s="197">
        <v>90</v>
      </c>
      <c r="E53" s="185">
        <v>50</v>
      </c>
      <c r="F53" s="186">
        <f t="shared" si="6"/>
        <v>11</v>
      </c>
      <c r="G53" s="185">
        <v>6</v>
      </c>
      <c r="H53" s="185">
        <v>6</v>
      </c>
      <c r="I53" s="185">
        <v>5</v>
      </c>
      <c r="J53" s="185">
        <v>7</v>
      </c>
      <c r="K53" s="186">
        <f t="shared" si="4"/>
        <v>301</v>
      </c>
      <c r="L53" s="185">
        <v>184</v>
      </c>
      <c r="M53" s="185">
        <v>117</v>
      </c>
      <c r="N53" s="186">
        <f t="shared" si="5"/>
        <v>22</v>
      </c>
      <c r="O53" s="185">
        <v>12</v>
      </c>
      <c r="P53" s="185">
        <v>9</v>
      </c>
      <c r="Q53" s="185">
        <v>10</v>
      </c>
      <c r="R53" s="185">
        <v>10</v>
      </c>
    </row>
    <row r="54" spans="1:18" ht="15.75">
      <c r="A54" s="144">
        <v>17</v>
      </c>
      <c r="B54" s="145" t="s">
        <v>183</v>
      </c>
      <c r="C54" s="196">
        <f t="shared" si="3"/>
        <v>2737</v>
      </c>
      <c r="D54" s="197">
        <v>342</v>
      </c>
      <c r="E54" s="185">
        <v>2395</v>
      </c>
      <c r="F54" s="186">
        <f t="shared" si="6"/>
        <v>50</v>
      </c>
      <c r="G54" s="185">
        <v>48</v>
      </c>
      <c r="H54" s="185">
        <v>2</v>
      </c>
      <c r="I54" s="185">
        <v>2</v>
      </c>
      <c r="J54" s="185">
        <v>31</v>
      </c>
      <c r="K54" s="186">
        <f t="shared" si="4"/>
        <v>364</v>
      </c>
      <c r="L54" s="185">
        <v>301</v>
      </c>
      <c r="M54" s="185">
        <v>63</v>
      </c>
      <c r="N54" s="186">
        <f t="shared" si="5"/>
        <v>53</v>
      </c>
      <c r="O54" s="185">
        <v>43</v>
      </c>
      <c r="P54" s="185">
        <v>3</v>
      </c>
      <c r="Q54" s="185">
        <v>10</v>
      </c>
      <c r="R54" s="185">
        <v>47</v>
      </c>
    </row>
    <row r="55" spans="1:18" ht="15.75">
      <c r="A55" s="144">
        <v>18</v>
      </c>
      <c r="B55" s="145" t="s">
        <v>184</v>
      </c>
      <c r="C55" s="196">
        <f t="shared" si="3"/>
        <v>6296</v>
      </c>
      <c r="D55" s="197">
        <v>302</v>
      </c>
      <c r="E55" s="185">
        <v>5994</v>
      </c>
      <c r="F55" s="186">
        <f t="shared" si="6"/>
        <v>75</v>
      </c>
      <c r="G55" s="185">
        <v>55</v>
      </c>
      <c r="H55" s="185">
        <v>13</v>
      </c>
      <c r="I55" s="185">
        <v>20</v>
      </c>
      <c r="J55" s="185">
        <v>63</v>
      </c>
      <c r="K55" s="186">
        <f t="shared" si="4"/>
        <v>535</v>
      </c>
      <c r="L55" s="185">
        <v>263</v>
      </c>
      <c r="M55" s="185">
        <v>272</v>
      </c>
      <c r="N55" s="186">
        <f t="shared" si="5"/>
        <v>93</v>
      </c>
      <c r="O55" s="185">
        <v>65</v>
      </c>
      <c r="P55" s="185">
        <v>13</v>
      </c>
      <c r="Q55" s="185">
        <v>28</v>
      </c>
      <c r="R55" s="185">
        <v>72</v>
      </c>
    </row>
    <row r="56" spans="1:18" ht="15.75">
      <c r="A56" s="144">
        <v>19</v>
      </c>
      <c r="B56" s="146" t="s">
        <v>202</v>
      </c>
      <c r="C56" s="196">
        <f t="shared" si="3"/>
        <v>47667</v>
      </c>
      <c r="D56" s="213">
        <v>1172</v>
      </c>
      <c r="E56" s="213">
        <v>46495</v>
      </c>
      <c r="F56" s="186">
        <f t="shared" si="6"/>
        <v>123</v>
      </c>
      <c r="G56" s="213">
        <v>58</v>
      </c>
      <c r="H56" s="213">
        <v>6</v>
      </c>
      <c r="I56" s="213">
        <v>65</v>
      </c>
      <c r="J56" s="213">
        <v>71</v>
      </c>
      <c r="K56" s="186">
        <f t="shared" si="4"/>
        <v>25941</v>
      </c>
      <c r="L56" s="213">
        <v>1080</v>
      </c>
      <c r="M56" s="213">
        <v>24861</v>
      </c>
      <c r="N56" s="186">
        <f t="shared" si="5"/>
        <v>178</v>
      </c>
      <c r="O56" s="213">
        <v>175</v>
      </c>
      <c r="P56" s="213">
        <v>1</v>
      </c>
      <c r="Q56" s="213">
        <v>3</v>
      </c>
      <c r="R56" s="280">
        <v>145</v>
      </c>
    </row>
    <row r="57" spans="1:18" ht="15.75">
      <c r="A57" s="144">
        <v>20</v>
      </c>
      <c r="B57" s="146" t="s">
        <v>203</v>
      </c>
      <c r="C57" s="196">
        <f t="shared" si="3"/>
        <v>11739</v>
      </c>
      <c r="D57" s="213">
        <v>991</v>
      </c>
      <c r="E57" s="187">
        <v>10748</v>
      </c>
      <c r="F57" s="186">
        <f t="shared" si="6"/>
        <v>13</v>
      </c>
      <c r="G57" s="187">
        <v>13</v>
      </c>
      <c r="H57" s="187"/>
      <c r="I57" s="187"/>
      <c r="J57" s="187">
        <v>13</v>
      </c>
      <c r="K57" s="186">
        <f t="shared" si="4"/>
        <v>2478</v>
      </c>
      <c r="L57" s="187">
        <v>343</v>
      </c>
      <c r="M57" s="187">
        <v>2135</v>
      </c>
      <c r="N57" s="186">
        <f aca="true" t="shared" si="7" ref="N57:N72">O57+Q57</f>
        <v>14</v>
      </c>
      <c r="O57" s="187">
        <v>14</v>
      </c>
      <c r="P57" s="187"/>
      <c r="Q57" s="187"/>
      <c r="R57" s="187">
        <v>14</v>
      </c>
    </row>
    <row r="58" spans="1:18" ht="15.75">
      <c r="A58" s="144">
        <v>21</v>
      </c>
      <c r="B58" s="146" t="s">
        <v>204</v>
      </c>
      <c r="C58" s="196">
        <f t="shared" si="3"/>
        <v>67</v>
      </c>
      <c r="D58" s="213">
        <v>42</v>
      </c>
      <c r="E58" s="187">
        <v>25</v>
      </c>
      <c r="F58" s="186">
        <f t="shared" si="6"/>
        <v>1</v>
      </c>
      <c r="G58" s="187">
        <v>1</v>
      </c>
      <c r="H58" s="187"/>
      <c r="I58" s="187"/>
      <c r="J58" s="187">
        <v>1</v>
      </c>
      <c r="K58" s="186">
        <v>1367</v>
      </c>
      <c r="L58" s="292">
        <v>104</v>
      </c>
      <c r="M58" s="292">
        <v>89</v>
      </c>
      <c r="N58" s="359">
        <f t="shared" si="7"/>
        <v>0</v>
      </c>
      <c r="O58" s="348">
        <v>0</v>
      </c>
      <c r="P58" s="348">
        <v>0</v>
      </c>
      <c r="Q58" s="348">
        <v>0</v>
      </c>
      <c r="R58" s="292">
        <v>3</v>
      </c>
    </row>
    <row r="59" spans="1:18" ht="15.75">
      <c r="A59" s="144">
        <v>22</v>
      </c>
      <c r="B59" s="146" t="s">
        <v>205</v>
      </c>
      <c r="C59" s="196">
        <f t="shared" si="3"/>
        <v>10766</v>
      </c>
      <c r="D59" s="213">
        <v>45</v>
      </c>
      <c r="E59" s="187">
        <v>10721</v>
      </c>
      <c r="F59" s="186">
        <v>6</v>
      </c>
      <c r="G59" s="361">
        <v>0</v>
      </c>
      <c r="H59" s="292">
        <v>4</v>
      </c>
      <c r="I59" s="187">
        <v>4</v>
      </c>
      <c r="J59" s="187">
        <v>4</v>
      </c>
      <c r="K59" s="186">
        <f t="shared" si="4"/>
        <v>2427</v>
      </c>
      <c r="L59" s="187">
        <v>26</v>
      </c>
      <c r="M59" s="187">
        <v>2401</v>
      </c>
      <c r="N59" s="293">
        <f t="shared" si="7"/>
        <v>36</v>
      </c>
      <c r="O59" s="361">
        <v>0</v>
      </c>
      <c r="P59" s="187">
        <v>7</v>
      </c>
      <c r="Q59" s="187">
        <v>36</v>
      </c>
      <c r="R59" s="292">
        <v>43</v>
      </c>
    </row>
    <row r="60" spans="1:18" ht="15.75">
      <c r="A60" s="144">
        <v>23</v>
      </c>
      <c r="B60" s="146" t="s">
        <v>206</v>
      </c>
      <c r="C60" s="196">
        <f t="shared" si="3"/>
        <v>24902</v>
      </c>
      <c r="D60" s="213">
        <v>186</v>
      </c>
      <c r="E60" s="187">
        <v>24716</v>
      </c>
      <c r="F60" s="186">
        <f t="shared" si="6"/>
        <v>184</v>
      </c>
      <c r="G60" s="187">
        <v>15</v>
      </c>
      <c r="H60" s="187">
        <v>11</v>
      </c>
      <c r="I60" s="187">
        <v>169</v>
      </c>
      <c r="J60" s="187">
        <v>184</v>
      </c>
      <c r="K60" s="186">
        <f t="shared" si="4"/>
        <v>22799</v>
      </c>
      <c r="L60" s="187">
        <v>502</v>
      </c>
      <c r="M60" s="187">
        <v>22297</v>
      </c>
      <c r="N60" s="186">
        <f t="shared" si="7"/>
        <v>100</v>
      </c>
      <c r="O60" s="362">
        <v>0</v>
      </c>
      <c r="P60" s="297">
        <v>9</v>
      </c>
      <c r="Q60" s="187">
        <v>100</v>
      </c>
      <c r="R60" s="187">
        <v>100</v>
      </c>
    </row>
    <row r="61" spans="1:19" ht="15.75">
      <c r="A61" s="144">
        <v>24</v>
      </c>
      <c r="B61" s="146" t="s">
        <v>207</v>
      </c>
      <c r="C61" s="336">
        <v>27478476</v>
      </c>
      <c r="D61" s="328">
        <v>1846</v>
      </c>
      <c r="E61" s="329">
        <v>26476630</v>
      </c>
      <c r="F61" s="186">
        <f t="shared" si="6"/>
        <v>137</v>
      </c>
      <c r="G61" s="187">
        <v>113</v>
      </c>
      <c r="H61" s="187">
        <v>41</v>
      </c>
      <c r="I61" s="187">
        <v>24</v>
      </c>
      <c r="J61" s="187">
        <v>137</v>
      </c>
      <c r="K61" s="337">
        <v>1279841</v>
      </c>
      <c r="L61" s="292">
        <v>1708</v>
      </c>
      <c r="M61" s="329">
        <v>1151775</v>
      </c>
      <c r="N61" s="186">
        <v>324</v>
      </c>
      <c r="O61" s="292">
        <v>287</v>
      </c>
      <c r="P61" s="187">
        <v>61</v>
      </c>
      <c r="Q61" s="292">
        <v>87</v>
      </c>
      <c r="R61" s="187">
        <v>338</v>
      </c>
      <c r="S61" s="327"/>
    </row>
    <row r="62" spans="1:18" ht="15.75">
      <c r="A62" s="144">
        <v>25</v>
      </c>
      <c r="B62" s="146" t="s">
        <v>208</v>
      </c>
      <c r="C62" s="196">
        <f t="shared" si="3"/>
        <v>38851</v>
      </c>
      <c r="D62" s="213">
        <v>1160</v>
      </c>
      <c r="E62" s="213">
        <v>37691</v>
      </c>
      <c r="F62" s="186">
        <f t="shared" si="6"/>
        <v>94</v>
      </c>
      <c r="G62" s="187">
        <v>39</v>
      </c>
      <c r="H62" s="187">
        <v>10</v>
      </c>
      <c r="I62" s="187">
        <v>55</v>
      </c>
      <c r="J62" s="187">
        <v>88</v>
      </c>
      <c r="K62" s="186">
        <f t="shared" si="4"/>
        <v>1143</v>
      </c>
      <c r="L62" s="187">
        <v>757</v>
      </c>
      <c r="M62" s="187">
        <v>386</v>
      </c>
      <c r="N62" s="186">
        <f t="shared" si="7"/>
        <v>228</v>
      </c>
      <c r="O62" s="187">
        <v>175</v>
      </c>
      <c r="P62" s="187">
        <v>7</v>
      </c>
      <c r="Q62" s="187">
        <v>53</v>
      </c>
      <c r="R62" s="187">
        <v>222</v>
      </c>
    </row>
    <row r="63" spans="1:18" ht="15.75">
      <c r="A63" s="144">
        <v>26</v>
      </c>
      <c r="B63" s="146" t="s">
        <v>209</v>
      </c>
      <c r="C63" s="196">
        <v>36410</v>
      </c>
      <c r="D63" s="328">
        <v>162</v>
      </c>
      <c r="E63" s="328">
        <v>29540</v>
      </c>
      <c r="F63" s="186">
        <f t="shared" si="6"/>
        <v>31</v>
      </c>
      <c r="G63" s="323">
        <v>1</v>
      </c>
      <c r="H63" s="187">
        <v>8</v>
      </c>
      <c r="I63" s="187">
        <v>30</v>
      </c>
      <c r="J63" s="187">
        <v>33</v>
      </c>
      <c r="K63" s="186">
        <f t="shared" si="4"/>
        <v>89923</v>
      </c>
      <c r="L63" s="213">
        <v>1147</v>
      </c>
      <c r="M63" s="213">
        <v>88776</v>
      </c>
      <c r="N63" s="186">
        <f t="shared" si="7"/>
        <v>305</v>
      </c>
      <c r="O63" s="323">
        <v>271</v>
      </c>
      <c r="P63" s="187">
        <v>11</v>
      </c>
      <c r="Q63" s="187">
        <v>34</v>
      </c>
      <c r="R63" s="187">
        <v>260</v>
      </c>
    </row>
    <row r="64" spans="1:18" ht="15.75">
      <c r="A64" s="144">
        <v>27</v>
      </c>
      <c r="B64" s="146" t="s">
        <v>210</v>
      </c>
      <c r="C64" s="196">
        <f t="shared" si="3"/>
        <v>11749</v>
      </c>
      <c r="D64" s="213">
        <v>89</v>
      </c>
      <c r="E64" s="187">
        <v>11660</v>
      </c>
      <c r="F64" s="186">
        <f t="shared" si="6"/>
        <v>5</v>
      </c>
      <c r="G64" s="187">
        <v>4</v>
      </c>
      <c r="H64" s="187">
        <v>2</v>
      </c>
      <c r="I64" s="187">
        <v>1</v>
      </c>
      <c r="J64" s="187">
        <v>5</v>
      </c>
      <c r="K64" s="186">
        <f t="shared" si="4"/>
        <v>2128</v>
      </c>
      <c r="L64" s="187">
        <v>257</v>
      </c>
      <c r="M64" s="187">
        <v>1871</v>
      </c>
      <c r="N64" s="293">
        <f t="shared" si="7"/>
        <v>16</v>
      </c>
      <c r="O64" s="187">
        <v>15</v>
      </c>
      <c r="P64" s="187">
        <v>1</v>
      </c>
      <c r="Q64" s="187">
        <v>1</v>
      </c>
      <c r="R64" s="292">
        <v>18</v>
      </c>
    </row>
    <row r="65" spans="1:18" ht="15.75">
      <c r="A65" s="144">
        <v>28</v>
      </c>
      <c r="B65" s="146" t="s">
        <v>211</v>
      </c>
      <c r="C65" s="196">
        <f t="shared" si="3"/>
        <v>4335</v>
      </c>
      <c r="D65" s="213">
        <v>132</v>
      </c>
      <c r="E65" s="187">
        <v>4203</v>
      </c>
      <c r="F65" s="293">
        <f t="shared" si="6"/>
        <v>13</v>
      </c>
      <c r="G65" s="187">
        <v>7</v>
      </c>
      <c r="H65" s="348">
        <v>0</v>
      </c>
      <c r="I65" s="187">
        <v>6</v>
      </c>
      <c r="J65" s="292">
        <v>16</v>
      </c>
      <c r="K65" s="186">
        <f t="shared" si="4"/>
        <v>407</v>
      </c>
      <c r="L65" s="187">
        <v>307</v>
      </c>
      <c r="M65" s="187">
        <v>100</v>
      </c>
      <c r="N65" s="186">
        <f t="shared" si="7"/>
        <v>71</v>
      </c>
      <c r="O65" s="187">
        <v>58</v>
      </c>
      <c r="P65" s="187">
        <v>4</v>
      </c>
      <c r="Q65" s="187">
        <v>13</v>
      </c>
      <c r="R65" s="187">
        <v>71</v>
      </c>
    </row>
    <row r="66" spans="1:18" ht="15.75">
      <c r="A66" s="144">
        <v>29</v>
      </c>
      <c r="B66" s="146" t="s">
        <v>212</v>
      </c>
      <c r="C66" s="196">
        <f t="shared" si="3"/>
        <v>1471</v>
      </c>
      <c r="D66" s="213">
        <v>341</v>
      </c>
      <c r="E66" s="187">
        <v>1130</v>
      </c>
      <c r="F66" s="186">
        <f t="shared" si="6"/>
        <v>152</v>
      </c>
      <c r="G66" s="187">
        <v>151</v>
      </c>
      <c r="H66" s="187">
        <v>45</v>
      </c>
      <c r="I66" s="187">
        <v>1</v>
      </c>
      <c r="J66" s="187">
        <v>1</v>
      </c>
      <c r="K66" s="186">
        <f t="shared" si="4"/>
        <v>577</v>
      </c>
      <c r="L66" s="187">
        <v>426</v>
      </c>
      <c r="M66" s="187">
        <v>151</v>
      </c>
      <c r="N66" s="186">
        <f>O66+Q66</f>
        <v>101</v>
      </c>
      <c r="O66" s="187">
        <v>101</v>
      </c>
      <c r="P66" s="187">
        <v>27</v>
      </c>
      <c r="Q66" s="342">
        <v>0</v>
      </c>
      <c r="R66" s="187">
        <v>25</v>
      </c>
    </row>
    <row r="67" spans="1:18" ht="15.75">
      <c r="A67" s="144">
        <v>30</v>
      </c>
      <c r="B67" s="146" t="s">
        <v>213</v>
      </c>
      <c r="C67" s="196">
        <f t="shared" si="3"/>
        <v>9392</v>
      </c>
      <c r="D67" s="213">
        <v>191</v>
      </c>
      <c r="E67" s="187">
        <v>9201</v>
      </c>
      <c r="F67" s="358">
        <f t="shared" si="6"/>
        <v>0</v>
      </c>
      <c r="G67" s="342">
        <v>0</v>
      </c>
      <c r="H67" s="342">
        <v>0</v>
      </c>
      <c r="I67" s="342">
        <v>0</v>
      </c>
      <c r="J67" s="342">
        <v>0</v>
      </c>
      <c r="K67" s="186">
        <f t="shared" si="4"/>
        <v>2754</v>
      </c>
      <c r="L67" s="187">
        <v>826</v>
      </c>
      <c r="M67" s="187">
        <v>1928</v>
      </c>
      <c r="N67" s="186">
        <f t="shared" si="7"/>
        <v>162</v>
      </c>
      <c r="O67" s="187">
        <v>162</v>
      </c>
      <c r="P67" s="342">
        <v>0</v>
      </c>
      <c r="Q67" s="342">
        <v>0</v>
      </c>
      <c r="R67" s="187">
        <v>130</v>
      </c>
    </row>
    <row r="68" spans="1:18" ht="15.75">
      <c r="A68" s="144">
        <v>31</v>
      </c>
      <c r="B68" s="146" t="s">
        <v>214</v>
      </c>
      <c r="C68" s="196">
        <f t="shared" si="3"/>
        <v>110725</v>
      </c>
      <c r="D68" s="213">
        <v>197</v>
      </c>
      <c r="E68" s="187">
        <v>110528</v>
      </c>
      <c r="F68" s="359">
        <f t="shared" si="6"/>
        <v>0</v>
      </c>
      <c r="G68" s="342">
        <v>0</v>
      </c>
      <c r="H68" s="342">
        <v>0</v>
      </c>
      <c r="I68" s="342">
        <v>0</v>
      </c>
      <c r="J68" s="292">
        <v>1</v>
      </c>
      <c r="K68" s="186">
        <f t="shared" si="4"/>
        <v>59525</v>
      </c>
      <c r="L68" s="187">
        <v>75</v>
      </c>
      <c r="M68" s="187">
        <v>59450</v>
      </c>
      <c r="N68" s="358">
        <f t="shared" si="7"/>
        <v>0</v>
      </c>
      <c r="O68" s="342">
        <v>0</v>
      </c>
      <c r="P68" s="342">
        <v>0</v>
      </c>
      <c r="Q68" s="342">
        <v>0</v>
      </c>
      <c r="R68" s="342">
        <v>0</v>
      </c>
    </row>
    <row r="69" spans="1:18" ht="15.75">
      <c r="A69" s="144">
        <v>32</v>
      </c>
      <c r="B69" s="146" t="s">
        <v>215</v>
      </c>
      <c r="C69" s="196">
        <f t="shared" si="3"/>
        <v>762</v>
      </c>
      <c r="D69" s="213">
        <v>761</v>
      </c>
      <c r="E69" s="187">
        <v>1</v>
      </c>
      <c r="F69" s="186">
        <f t="shared" si="6"/>
        <v>169</v>
      </c>
      <c r="G69" s="187">
        <v>168</v>
      </c>
      <c r="H69" s="187">
        <v>1</v>
      </c>
      <c r="I69" s="187">
        <v>1</v>
      </c>
      <c r="J69" s="187">
        <v>165</v>
      </c>
      <c r="K69" s="186">
        <f t="shared" si="4"/>
        <v>493</v>
      </c>
      <c r="L69" s="187">
        <v>493</v>
      </c>
      <c r="M69" s="348">
        <v>0</v>
      </c>
      <c r="N69" s="186">
        <f t="shared" si="7"/>
        <v>139</v>
      </c>
      <c r="O69" s="187">
        <v>139</v>
      </c>
      <c r="P69" s="342">
        <v>0</v>
      </c>
      <c r="Q69" s="342">
        <v>0</v>
      </c>
      <c r="R69" s="187">
        <v>136</v>
      </c>
    </row>
    <row r="70" spans="1:18" ht="15.75">
      <c r="A70" s="144">
        <v>33</v>
      </c>
      <c r="B70" s="146" t="s">
        <v>216</v>
      </c>
      <c r="C70" s="196">
        <f t="shared" si="3"/>
        <v>5167</v>
      </c>
      <c r="D70" s="213">
        <v>554</v>
      </c>
      <c r="E70" s="187">
        <v>4613</v>
      </c>
      <c r="F70" s="293">
        <f t="shared" si="6"/>
        <v>20</v>
      </c>
      <c r="G70" s="361">
        <v>0</v>
      </c>
      <c r="H70" s="292">
        <v>11</v>
      </c>
      <c r="I70" s="187">
        <v>20</v>
      </c>
      <c r="J70" s="292">
        <v>69</v>
      </c>
      <c r="K70" s="186">
        <f t="shared" si="4"/>
        <v>1688</v>
      </c>
      <c r="L70" s="187">
        <v>479</v>
      </c>
      <c r="M70" s="187">
        <v>1209</v>
      </c>
      <c r="N70" s="293">
        <f t="shared" si="7"/>
        <v>20</v>
      </c>
      <c r="O70" s="361">
        <v>0</v>
      </c>
      <c r="P70" s="292">
        <v>23</v>
      </c>
      <c r="Q70" s="187">
        <v>20</v>
      </c>
      <c r="R70" s="292">
        <v>88</v>
      </c>
    </row>
    <row r="71" spans="1:18" ht="15.75">
      <c r="A71" s="144">
        <v>34</v>
      </c>
      <c r="B71" s="146" t="s">
        <v>217</v>
      </c>
      <c r="C71" s="196">
        <f t="shared" si="3"/>
        <v>21121</v>
      </c>
      <c r="D71" s="213">
        <v>365</v>
      </c>
      <c r="E71" s="187">
        <v>20756</v>
      </c>
      <c r="F71" s="293">
        <f t="shared" si="6"/>
        <v>176</v>
      </c>
      <c r="G71" s="187">
        <v>19</v>
      </c>
      <c r="H71" s="187">
        <v>16</v>
      </c>
      <c r="I71" s="187">
        <v>157</v>
      </c>
      <c r="J71" s="292">
        <v>185</v>
      </c>
      <c r="K71" s="186">
        <f t="shared" si="4"/>
        <v>13252</v>
      </c>
      <c r="L71" s="187">
        <v>381</v>
      </c>
      <c r="M71" s="187">
        <v>12871</v>
      </c>
      <c r="N71" s="186">
        <f t="shared" si="7"/>
        <v>48</v>
      </c>
      <c r="O71" s="187">
        <v>21</v>
      </c>
      <c r="P71" s="187">
        <v>21</v>
      </c>
      <c r="Q71" s="187">
        <v>27</v>
      </c>
      <c r="R71" s="187">
        <v>48</v>
      </c>
    </row>
    <row r="72" spans="1:18" ht="15.75">
      <c r="A72" s="144">
        <v>35</v>
      </c>
      <c r="B72" s="146" t="s">
        <v>218</v>
      </c>
      <c r="C72" s="196">
        <f t="shared" si="3"/>
        <v>641</v>
      </c>
      <c r="D72" s="213">
        <v>188</v>
      </c>
      <c r="E72" s="187">
        <v>453</v>
      </c>
      <c r="F72" s="186">
        <f t="shared" si="6"/>
        <v>4</v>
      </c>
      <c r="G72" s="187">
        <v>4</v>
      </c>
      <c r="H72" s="187">
        <v>2</v>
      </c>
      <c r="I72" s="348">
        <v>0</v>
      </c>
      <c r="J72" s="187">
        <v>1</v>
      </c>
      <c r="K72" s="186">
        <f t="shared" si="4"/>
        <v>969</v>
      </c>
      <c r="L72" s="187">
        <v>731</v>
      </c>
      <c r="M72" s="187">
        <v>238</v>
      </c>
      <c r="N72" s="186">
        <f t="shared" si="7"/>
        <v>132</v>
      </c>
      <c r="O72" s="187">
        <v>124</v>
      </c>
      <c r="P72" s="187">
        <v>28</v>
      </c>
      <c r="Q72" s="187">
        <v>8</v>
      </c>
      <c r="R72" s="187">
        <v>114</v>
      </c>
    </row>
    <row r="73" spans="1:18" ht="15.75">
      <c r="A73" s="144">
        <v>36</v>
      </c>
      <c r="B73" s="147" t="s">
        <v>219</v>
      </c>
      <c r="C73" s="196">
        <f t="shared" si="3"/>
        <v>2313</v>
      </c>
      <c r="D73" s="253">
        <v>808</v>
      </c>
      <c r="E73" s="215">
        <v>1505</v>
      </c>
      <c r="F73" s="186">
        <f t="shared" si="6"/>
        <v>10</v>
      </c>
      <c r="G73" s="295">
        <v>7</v>
      </c>
      <c r="H73" s="295">
        <v>9</v>
      </c>
      <c r="I73" s="215">
        <v>3</v>
      </c>
      <c r="J73" s="215">
        <v>9</v>
      </c>
      <c r="K73" s="186">
        <f t="shared" si="4"/>
        <v>923</v>
      </c>
      <c r="L73" s="215">
        <v>837</v>
      </c>
      <c r="M73" s="215">
        <v>86</v>
      </c>
      <c r="N73" s="186">
        <f>O73+Q73</f>
        <v>443</v>
      </c>
      <c r="O73" s="215">
        <v>443</v>
      </c>
      <c r="P73" s="215">
        <v>163</v>
      </c>
      <c r="Q73" s="342">
        <v>0</v>
      </c>
      <c r="R73" s="215">
        <v>248</v>
      </c>
    </row>
    <row r="74" spans="1:18" ht="15.75">
      <c r="A74" s="144">
        <v>37</v>
      </c>
      <c r="B74" s="147" t="s">
        <v>220</v>
      </c>
      <c r="C74" s="196">
        <f t="shared" si="3"/>
        <v>114</v>
      </c>
      <c r="D74" s="253">
        <v>68</v>
      </c>
      <c r="E74" s="215">
        <v>46</v>
      </c>
      <c r="F74" s="186">
        <f t="shared" si="6"/>
        <v>17</v>
      </c>
      <c r="G74" s="215">
        <v>12</v>
      </c>
      <c r="H74" s="215">
        <v>7</v>
      </c>
      <c r="I74" s="215">
        <v>5</v>
      </c>
      <c r="J74" s="215">
        <v>7</v>
      </c>
      <c r="K74" s="186">
        <f t="shared" si="4"/>
        <v>264</v>
      </c>
      <c r="L74" s="215">
        <v>218</v>
      </c>
      <c r="M74" s="215">
        <v>46</v>
      </c>
      <c r="N74" s="186">
        <f>O74+Q74</f>
        <v>55</v>
      </c>
      <c r="O74" s="215">
        <v>49</v>
      </c>
      <c r="P74" s="215">
        <v>9</v>
      </c>
      <c r="Q74" s="215">
        <v>6</v>
      </c>
      <c r="R74" s="215">
        <v>33</v>
      </c>
    </row>
    <row r="75" spans="1:18" ht="15.75">
      <c r="A75" s="144">
        <v>38</v>
      </c>
      <c r="B75" s="147" t="s">
        <v>221</v>
      </c>
      <c r="C75" s="196">
        <f t="shared" si="3"/>
        <v>10955</v>
      </c>
      <c r="D75" s="253">
        <v>932</v>
      </c>
      <c r="E75" s="215">
        <v>10023</v>
      </c>
      <c r="F75" s="186">
        <f t="shared" si="6"/>
        <v>46</v>
      </c>
      <c r="G75" s="215">
        <v>29</v>
      </c>
      <c r="H75" s="215">
        <v>10</v>
      </c>
      <c r="I75" s="215">
        <v>17</v>
      </c>
      <c r="J75" s="215">
        <v>46</v>
      </c>
      <c r="K75" s="186">
        <f t="shared" si="4"/>
        <v>1015</v>
      </c>
      <c r="L75" s="215">
        <v>944</v>
      </c>
      <c r="M75" s="215">
        <v>71</v>
      </c>
      <c r="N75" s="186">
        <f aca="true" t="shared" si="8" ref="N75:N81">O75+Q75</f>
        <v>157</v>
      </c>
      <c r="O75" s="215">
        <v>154</v>
      </c>
      <c r="P75" s="215">
        <v>5</v>
      </c>
      <c r="Q75" s="215">
        <v>3</v>
      </c>
      <c r="R75" s="215">
        <v>157</v>
      </c>
    </row>
    <row r="76" spans="1:18" ht="15.75">
      <c r="A76" s="144">
        <v>39</v>
      </c>
      <c r="B76" s="147" t="s">
        <v>222</v>
      </c>
      <c r="C76" s="196">
        <f t="shared" si="3"/>
        <v>40753</v>
      </c>
      <c r="D76" s="253">
        <v>181</v>
      </c>
      <c r="E76" s="215">
        <v>40572</v>
      </c>
      <c r="F76" s="186">
        <f t="shared" si="6"/>
        <v>178</v>
      </c>
      <c r="G76" s="215"/>
      <c r="H76" s="215"/>
      <c r="I76" s="215">
        <v>178</v>
      </c>
      <c r="J76" s="215">
        <v>178</v>
      </c>
      <c r="K76" s="186">
        <f t="shared" si="4"/>
        <v>68704</v>
      </c>
      <c r="L76" s="215">
        <v>175</v>
      </c>
      <c r="M76" s="215">
        <v>68529</v>
      </c>
      <c r="N76" s="186">
        <f t="shared" si="8"/>
        <v>263</v>
      </c>
      <c r="O76" s="215">
        <v>1</v>
      </c>
      <c r="P76" s="215">
        <v>1</v>
      </c>
      <c r="Q76" s="215">
        <v>262</v>
      </c>
      <c r="R76" s="215">
        <v>263</v>
      </c>
    </row>
    <row r="77" spans="1:18" ht="15.75">
      <c r="A77" s="144">
        <v>40</v>
      </c>
      <c r="B77" s="147" t="s">
        <v>223</v>
      </c>
      <c r="C77" s="196">
        <f t="shared" si="3"/>
        <v>120221</v>
      </c>
      <c r="D77" s="253">
        <v>7361</v>
      </c>
      <c r="E77" s="215">
        <v>112860</v>
      </c>
      <c r="F77" s="186">
        <f t="shared" si="6"/>
        <v>832</v>
      </c>
      <c r="G77" s="215">
        <v>316</v>
      </c>
      <c r="H77" s="215">
        <v>23</v>
      </c>
      <c r="I77" s="267">
        <v>516</v>
      </c>
      <c r="J77" s="215">
        <v>658</v>
      </c>
      <c r="K77" s="186">
        <f t="shared" si="4"/>
        <v>83487</v>
      </c>
      <c r="L77" s="215">
        <v>4669</v>
      </c>
      <c r="M77" s="215">
        <v>78818</v>
      </c>
      <c r="N77" s="186">
        <f t="shared" si="8"/>
        <v>1136</v>
      </c>
      <c r="O77" s="215">
        <v>370</v>
      </c>
      <c r="P77" s="215">
        <v>41</v>
      </c>
      <c r="Q77" s="215">
        <v>766</v>
      </c>
      <c r="R77" s="215">
        <v>759</v>
      </c>
    </row>
    <row r="78" spans="1:18" ht="15.75">
      <c r="A78" s="144">
        <v>41</v>
      </c>
      <c r="B78" s="147" t="s">
        <v>224</v>
      </c>
      <c r="C78" s="196">
        <f t="shared" si="3"/>
        <v>17605</v>
      </c>
      <c r="D78" s="253">
        <v>622</v>
      </c>
      <c r="E78" s="215">
        <v>16983</v>
      </c>
      <c r="F78" s="337">
        <f t="shared" si="6"/>
        <v>2529</v>
      </c>
      <c r="G78" s="215">
        <v>52</v>
      </c>
      <c r="H78" s="215">
        <v>3</v>
      </c>
      <c r="I78" s="267">
        <v>2477</v>
      </c>
      <c r="J78" s="215">
        <v>16</v>
      </c>
      <c r="K78" s="186">
        <f t="shared" si="4"/>
        <v>9988</v>
      </c>
      <c r="L78" s="215">
        <v>310</v>
      </c>
      <c r="M78" s="215">
        <v>9678</v>
      </c>
      <c r="N78" s="186">
        <f>O78+Q78</f>
        <v>72</v>
      </c>
      <c r="O78" s="215">
        <v>72</v>
      </c>
      <c r="P78" s="215">
        <v>5</v>
      </c>
      <c r="Q78" s="342">
        <v>0</v>
      </c>
      <c r="R78" s="215">
        <v>88</v>
      </c>
    </row>
    <row r="79" spans="1:18" ht="15.75">
      <c r="A79" s="144">
        <v>42</v>
      </c>
      <c r="B79" s="147" t="s">
        <v>225</v>
      </c>
      <c r="C79" s="196">
        <f t="shared" si="3"/>
        <v>7463</v>
      </c>
      <c r="D79" s="253">
        <v>444</v>
      </c>
      <c r="E79" s="215">
        <v>7019</v>
      </c>
      <c r="F79" s="186">
        <f t="shared" si="6"/>
        <v>35</v>
      </c>
      <c r="G79" s="215">
        <v>27</v>
      </c>
      <c r="H79" s="215">
        <v>1</v>
      </c>
      <c r="I79" s="215">
        <v>8</v>
      </c>
      <c r="J79" s="215">
        <v>25</v>
      </c>
      <c r="K79" s="186">
        <f t="shared" si="4"/>
        <v>3484</v>
      </c>
      <c r="L79" s="215">
        <v>373</v>
      </c>
      <c r="M79" s="215">
        <v>3111</v>
      </c>
      <c r="N79" s="186">
        <f>O79+Q79</f>
        <v>62</v>
      </c>
      <c r="O79" s="215">
        <v>55</v>
      </c>
      <c r="P79" s="342">
        <v>0</v>
      </c>
      <c r="Q79" s="215">
        <v>7</v>
      </c>
      <c r="R79" s="342">
        <v>0</v>
      </c>
    </row>
    <row r="80" spans="1:18" ht="15.75">
      <c r="A80" s="144">
        <v>43</v>
      </c>
      <c r="B80" s="147" t="s">
        <v>226</v>
      </c>
      <c r="C80" s="196">
        <f t="shared" si="3"/>
        <v>6720</v>
      </c>
      <c r="D80" s="253">
        <v>372</v>
      </c>
      <c r="E80" s="215">
        <v>6348</v>
      </c>
      <c r="F80" s="186">
        <f t="shared" si="6"/>
        <v>15</v>
      </c>
      <c r="G80" s="215">
        <v>15</v>
      </c>
      <c r="H80" s="342">
        <v>0</v>
      </c>
      <c r="I80" s="342">
        <v>0</v>
      </c>
      <c r="J80" s="215">
        <v>13</v>
      </c>
      <c r="K80" s="186">
        <f t="shared" si="4"/>
        <v>29746</v>
      </c>
      <c r="L80" s="215">
        <v>1076</v>
      </c>
      <c r="M80" s="215">
        <v>28670</v>
      </c>
      <c r="N80" s="186">
        <f t="shared" si="8"/>
        <v>88</v>
      </c>
      <c r="O80" s="215">
        <v>81</v>
      </c>
      <c r="P80" s="215">
        <v>2</v>
      </c>
      <c r="Q80" s="215">
        <v>7</v>
      </c>
      <c r="R80" s="215">
        <v>88</v>
      </c>
    </row>
    <row r="81" spans="1:18" ht="15.75">
      <c r="A81" s="144">
        <v>44</v>
      </c>
      <c r="B81" s="147" t="s">
        <v>227</v>
      </c>
      <c r="C81" s="196">
        <f t="shared" si="3"/>
        <v>31742</v>
      </c>
      <c r="D81" s="253">
        <v>367</v>
      </c>
      <c r="E81" s="215">
        <v>31375</v>
      </c>
      <c r="F81" s="186">
        <f t="shared" si="6"/>
        <v>71</v>
      </c>
      <c r="G81" s="215">
        <v>15</v>
      </c>
      <c r="H81" s="215">
        <v>9</v>
      </c>
      <c r="I81" s="215">
        <v>56</v>
      </c>
      <c r="J81" s="215">
        <v>29</v>
      </c>
      <c r="K81" s="186">
        <f t="shared" si="4"/>
        <v>82165</v>
      </c>
      <c r="L81" s="215">
        <v>364</v>
      </c>
      <c r="M81" s="215">
        <v>81801</v>
      </c>
      <c r="N81" s="186">
        <f t="shared" si="8"/>
        <v>207</v>
      </c>
      <c r="O81" s="215">
        <v>131</v>
      </c>
      <c r="P81" s="215">
        <v>22</v>
      </c>
      <c r="Q81" s="215">
        <v>76</v>
      </c>
      <c r="R81" s="215">
        <v>65</v>
      </c>
    </row>
    <row r="82" spans="1:18" s="97" customFormat="1" ht="15.75">
      <c r="A82" s="144">
        <v>45</v>
      </c>
      <c r="B82" s="148" t="s">
        <v>233</v>
      </c>
      <c r="C82" s="196">
        <f t="shared" si="3"/>
        <v>353</v>
      </c>
      <c r="D82" s="213">
        <v>198</v>
      </c>
      <c r="E82" s="187">
        <v>155</v>
      </c>
      <c r="F82" s="358">
        <f t="shared" si="6"/>
        <v>0</v>
      </c>
      <c r="G82" s="342">
        <v>0</v>
      </c>
      <c r="H82" s="342">
        <v>0</v>
      </c>
      <c r="I82" s="342">
        <v>0</v>
      </c>
      <c r="J82" s="342">
        <v>0</v>
      </c>
      <c r="K82" s="186">
        <f t="shared" si="4"/>
        <v>1696</v>
      </c>
      <c r="L82" s="187">
        <v>1656</v>
      </c>
      <c r="M82" s="187">
        <v>40</v>
      </c>
      <c r="N82" s="186">
        <f>O82+Q82</f>
        <v>380</v>
      </c>
      <c r="O82" s="187">
        <v>380</v>
      </c>
      <c r="P82" s="187">
        <v>93</v>
      </c>
      <c r="Q82" s="342">
        <v>0</v>
      </c>
      <c r="R82" s="187">
        <v>348</v>
      </c>
    </row>
    <row r="83" spans="1:18" s="97" customFormat="1" ht="15.75">
      <c r="A83" s="144">
        <v>46</v>
      </c>
      <c r="B83" s="148" t="s">
        <v>234</v>
      </c>
      <c r="C83" s="196">
        <f t="shared" si="3"/>
        <v>568</v>
      </c>
      <c r="D83" s="213">
        <f>36+92</f>
        <v>128</v>
      </c>
      <c r="E83" s="187">
        <f>0+440</f>
        <v>440</v>
      </c>
      <c r="F83" s="186">
        <f t="shared" si="6"/>
        <v>84</v>
      </c>
      <c r="G83" s="187">
        <f>15+26</f>
        <v>41</v>
      </c>
      <c r="H83" s="187">
        <f>0+6</f>
        <v>6</v>
      </c>
      <c r="I83" s="187">
        <f>0+43</f>
        <v>43</v>
      </c>
      <c r="J83" s="187">
        <f>15+40</f>
        <v>55</v>
      </c>
      <c r="K83" s="186">
        <f t="shared" si="4"/>
        <v>885</v>
      </c>
      <c r="L83" s="187">
        <f>72+407</f>
        <v>479</v>
      </c>
      <c r="M83" s="187">
        <f>10+396</f>
        <v>406</v>
      </c>
      <c r="N83" s="186">
        <f aca="true" t="shared" si="9" ref="N83:N93">O83+Q83</f>
        <v>348</v>
      </c>
      <c r="O83" s="187">
        <f>26+180</f>
        <v>206</v>
      </c>
      <c r="P83" s="187">
        <f>0+69</f>
        <v>69</v>
      </c>
      <c r="Q83" s="187">
        <f>0+142</f>
        <v>142</v>
      </c>
      <c r="R83" s="187">
        <f>26+147</f>
        <v>173</v>
      </c>
    </row>
    <row r="84" spans="1:18" s="97" customFormat="1" ht="15.75">
      <c r="A84" s="144">
        <v>47</v>
      </c>
      <c r="B84" s="148" t="s">
        <v>235</v>
      </c>
      <c r="C84" s="196">
        <f t="shared" si="3"/>
        <v>14528</v>
      </c>
      <c r="D84" s="213">
        <v>526</v>
      </c>
      <c r="E84" s="187">
        <v>14002</v>
      </c>
      <c r="F84" s="186">
        <f t="shared" si="6"/>
        <v>47</v>
      </c>
      <c r="G84" s="187">
        <v>29</v>
      </c>
      <c r="H84" s="187">
        <v>4</v>
      </c>
      <c r="I84" s="187">
        <v>18</v>
      </c>
      <c r="J84" s="187">
        <v>9</v>
      </c>
      <c r="K84" s="186">
        <f t="shared" si="4"/>
        <v>42947</v>
      </c>
      <c r="L84" s="187">
        <v>358</v>
      </c>
      <c r="M84" s="187">
        <v>42589</v>
      </c>
      <c r="N84" s="186">
        <f t="shared" si="9"/>
        <v>1403</v>
      </c>
      <c r="O84" s="187">
        <v>970</v>
      </c>
      <c r="P84" s="187">
        <v>35</v>
      </c>
      <c r="Q84" s="187">
        <v>433</v>
      </c>
      <c r="R84" s="187">
        <v>62</v>
      </c>
    </row>
    <row r="85" spans="1:18" s="97" customFormat="1" ht="15.75">
      <c r="A85" s="144">
        <v>48</v>
      </c>
      <c r="B85" s="148" t="s">
        <v>236</v>
      </c>
      <c r="C85" s="196">
        <f t="shared" si="3"/>
        <v>55068</v>
      </c>
      <c r="D85" s="213">
        <v>1204</v>
      </c>
      <c r="E85" s="187">
        <v>53864</v>
      </c>
      <c r="F85" s="186">
        <f t="shared" si="6"/>
        <v>22</v>
      </c>
      <c r="G85" s="187">
        <v>16</v>
      </c>
      <c r="H85" s="342">
        <v>0</v>
      </c>
      <c r="I85" s="187">
        <v>6</v>
      </c>
      <c r="J85" s="187">
        <v>16</v>
      </c>
      <c r="K85" s="186">
        <f t="shared" si="4"/>
        <v>24871</v>
      </c>
      <c r="L85" s="187">
        <v>809</v>
      </c>
      <c r="M85" s="187">
        <v>24062</v>
      </c>
      <c r="N85" s="186">
        <f t="shared" si="9"/>
        <v>74</v>
      </c>
      <c r="O85" s="187">
        <v>74</v>
      </c>
      <c r="P85" s="187">
        <v>1</v>
      </c>
      <c r="Q85" s="342">
        <v>0</v>
      </c>
      <c r="R85" s="187">
        <v>74</v>
      </c>
    </row>
    <row r="86" spans="1:18" s="97" customFormat="1" ht="15.75">
      <c r="A86" s="144">
        <v>49</v>
      </c>
      <c r="B86" s="148" t="s">
        <v>237</v>
      </c>
      <c r="C86" s="196">
        <f t="shared" si="3"/>
        <v>16806</v>
      </c>
      <c r="D86" s="213">
        <v>184</v>
      </c>
      <c r="E86" s="187">
        <v>16622</v>
      </c>
      <c r="F86" s="186">
        <v>59</v>
      </c>
      <c r="G86" s="292"/>
      <c r="H86" s="187">
        <v>3</v>
      </c>
      <c r="I86" s="292"/>
      <c r="J86" s="187">
        <v>56</v>
      </c>
      <c r="K86" s="186">
        <f t="shared" si="4"/>
        <v>6437</v>
      </c>
      <c r="L86" s="187">
        <v>197</v>
      </c>
      <c r="M86" s="187">
        <v>6240</v>
      </c>
      <c r="N86" s="186">
        <f t="shared" si="9"/>
        <v>31</v>
      </c>
      <c r="O86" s="187">
        <v>15</v>
      </c>
      <c r="P86" s="187">
        <v>2</v>
      </c>
      <c r="Q86" s="187">
        <v>16</v>
      </c>
      <c r="R86" s="187">
        <v>24</v>
      </c>
    </row>
    <row r="87" spans="1:18" s="97" customFormat="1" ht="15.75">
      <c r="A87" s="144">
        <v>50</v>
      </c>
      <c r="B87" s="148" t="s">
        <v>238</v>
      </c>
      <c r="C87" s="196">
        <f t="shared" si="3"/>
        <v>2112</v>
      </c>
      <c r="D87" s="213">
        <v>591</v>
      </c>
      <c r="E87" s="187">
        <v>1521</v>
      </c>
      <c r="F87" s="186">
        <f t="shared" si="6"/>
        <v>47</v>
      </c>
      <c r="G87" s="187">
        <v>44</v>
      </c>
      <c r="H87" s="187">
        <v>6</v>
      </c>
      <c r="I87" s="187">
        <v>3</v>
      </c>
      <c r="J87" s="187">
        <v>47</v>
      </c>
      <c r="K87" s="186">
        <f t="shared" si="4"/>
        <v>1352</v>
      </c>
      <c r="L87" s="187">
        <v>567</v>
      </c>
      <c r="M87" s="187">
        <v>785</v>
      </c>
      <c r="N87" s="186">
        <f t="shared" si="9"/>
        <v>58</v>
      </c>
      <c r="O87" s="187">
        <v>55</v>
      </c>
      <c r="P87" s="187">
        <v>6</v>
      </c>
      <c r="Q87" s="187">
        <v>3</v>
      </c>
      <c r="R87" s="187">
        <v>56</v>
      </c>
    </row>
    <row r="88" spans="1:18" s="97" customFormat="1" ht="15.75">
      <c r="A88" s="144">
        <v>51</v>
      </c>
      <c r="B88" s="149" t="s">
        <v>239</v>
      </c>
      <c r="C88" s="196">
        <f t="shared" si="3"/>
        <v>7876</v>
      </c>
      <c r="D88" s="213">
        <v>582</v>
      </c>
      <c r="E88" s="187">
        <v>7294</v>
      </c>
      <c r="F88" s="186">
        <f t="shared" si="6"/>
        <v>158</v>
      </c>
      <c r="G88" s="187">
        <v>78</v>
      </c>
      <c r="H88" s="187">
        <v>1</v>
      </c>
      <c r="I88" s="187">
        <v>80</v>
      </c>
      <c r="J88" s="187">
        <v>154</v>
      </c>
      <c r="K88" s="186">
        <f t="shared" si="4"/>
        <v>7822</v>
      </c>
      <c r="L88" s="187">
        <v>580</v>
      </c>
      <c r="M88" s="187">
        <v>7242</v>
      </c>
      <c r="N88" s="186">
        <f t="shared" si="9"/>
        <v>752</v>
      </c>
      <c r="O88" s="187">
        <v>292</v>
      </c>
      <c r="P88" s="187">
        <v>8</v>
      </c>
      <c r="Q88" s="187">
        <v>460</v>
      </c>
      <c r="R88" s="187">
        <v>730</v>
      </c>
    </row>
    <row r="89" spans="1:18" s="97" customFormat="1" ht="15.75">
      <c r="A89" s="144">
        <v>52</v>
      </c>
      <c r="B89" s="149" t="s">
        <v>240</v>
      </c>
      <c r="C89" s="196">
        <f t="shared" si="3"/>
        <v>632</v>
      </c>
      <c r="D89" s="213">
        <v>103</v>
      </c>
      <c r="E89" s="187">
        <v>529</v>
      </c>
      <c r="F89" s="186">
        <f t="shared" si="6"/>
        <v>30</v>
      </c>
      <c r="G89" s="187">
        <v>9</v>
      </c>
      <c r="H89" s="187">
        <v>3</v>
      </c>
      <c r="I89" s="187">
        <v>21</v>
      </c>
      <c r="J89" s="187">
        <v>30</v>
      </c>
      <c r="K89" s="186">
        <f t="shared" si="4"/>
        <v>1059</v>
      </c>
      <c r="L89" s="187">
        <v>603</v>
      </c>
      <c r="M89" s="187">
        <v>456</v>
      </c>
      <c r="N89" s="186">
        <f t="shared" si="9"/>
        <v>188</v>
      </c>
      <c r="O89" s="187">
        <v>138</v>
      </c>
      <c r="P89" s="187">
        <v>16</v>
      </c>
      <c r="Q89" s="187">
        <v>50</v>
      </c>
      <c r="R89" s="187">
        <v>184</v>
      </c>
    </row>
    <row r="90" spans="1:18" s="97" customFormat="1" ht="15.75">
      <c r="A90" s="144">
        <v>53</v>
      </c>
      <c r="B90" s="149" t="s">
        <v>241</v>
      </c>
      <c r="C90" s="196">
        <f t="shared" si="3"/>
        <v>32223</v>
      </c>
      <c r="D90" s="213">
        <v>1009</v>
      </c>
      <c r="E90" s="187">
        <v>31214</v>
      </c>
      <c r="F90" s="186">
        <f t="shared" si="6"/>
        <v>44</v>
      </c>
      <c r="G90" s="187">
        <v>4</v>
      </c>
      <c r="H90" s="342">
        <v>0</v>
      </c>
      <c r="I90" s="187">
        <v>40</v>
      </c>
      <c r="J90" s="187">
        <v>44</v>
      </c>
      <c r="K90" s="186">
        <f t="shared" si="4"/>
        <v>25397</v>
      </c>
      <c r="L90" s="187">
        <v>975</v>
      </c>
      <c r="M90" s="187">
        <v>24422</v>
      </c>
      <c r="N90" s="186">
        <f t="shared" si="9"/>
        <v>44</v>
      </c>
      <c r="O90" s="187">
        <v>4</v>
      </c>
      <c r="P90" s="342">
        <v>0</v>
      </c>
      <c r="Q90" s="187">
        <v>40</v>
      </c>
      <c r="R90" s="187">
        <v>44</v>
      </c>
    </row>
    <row r="91" spans="1:18" s="97" customFormat="1" ht="15.75">
      <c r="A91" s="144">
        <v>54</v>
      </c>
      <c r="B91" s="149" t="s">
        <v>242</v>
      </c>
      <c r="C91" s="196">
        <f t="shared" si="3"/>
        <v>156</v>
      </c>
      <c r="D91" s="213">
        <v>156</v>
      </c>
      <c r="E91" s="187"/>
      <c r="F91" s="186">
        <f t="shared" si="6"/>
        <v>2</v>
      </c>
      <c r="G91" s="187">
        <v>2</v>
      </c>
      <c r="H91" s="187">
        <v>2</v>
      </c>
      <c r="I91" s="187"/>
      <c r="J91" s="187"/>
      <c r="K91" s="186">
        <f t="shared" si="4"/>
        <v>384</v>
      </c>
      <c r="L91" s="187">
        <f>25+111</f>
        <v>136</v>
      </c>
      <c r="M91" s="187">
        <f>0+248</f>
        <v>248</v>
      </c>
      <c r="N91" s="186">
        <f t="shared" si="9"/>
        <v>62</v>
      </c>
      <c r="O91" s="187">
        <f>35+16</f>
        <v>51</v>
      </c>
      <c r="P91" s="187">
        <f>8+7</f>
        <v>15</v>
      </c>
      <c r="Q91" s="187">
        <f>11+0</f>
        <v>11</v>
      </c>
      <c r="R91" s="187">
        <f>43+13</f>
        <v>56</v>
      </c>
    </row>
    <row r="92" spans="1:18" s="97" customFormat="1" ht="15.75">
      <c r="A92" s="144">
        <v>55</v>
      </c>
      <c r="B92" s="149" t="s">
        <v>243</v>
      </c>
      <c r="C92" s="196">
        <f t="shared" si="3"/>
        <v>42314</v>
      </c>
      <c r="D92" s="213">
        <v>452</v>
      </c>
      <c r="E92" s="187">
        <v>41862</v>
      </c>
      <c r="F92" s="186">
        <f t="shared" si="6"/>
        <v>76</v>
      </c>
      <c r="G92" s="292">
        <v>2</v>
      </c>
      <c r="H92" s="292">
        <v>55</v>
      </c>
      <c r="I92" s="187">
        <v>74</v>
      </c>
      <c r="J92" s="187">
        <v>76</v>
      </c>
      <c r="K92" s="186">
        <f t="shared" si="4"/>
        <v>36253</v>
      </c>
      <c r="L92" s="187">
        <v>1365</v>
      </c>
      <c r="M92" s="187">
        <v>34888</v>
      </c>
      <c r="N92" s="186">
        <f t="shared" si="9"/>
        <v>175</v>
      </c>
      <c r="O92" s="187">
        <v>97</v>
      </c>
      <c r="P92" s="187">
        <v>35</v>
      </c>
      <c r="Q92" s="187">
        <v>78</v>
      </c>
      <c r="R92" s="187">
        <v>123</v>
      </c>
    </row>
    <row r="93" spans="1:18" s="97" customFormat="1" ht="21.75" customHeight="1">
      <c r="A93" s="144">
        <v>56</v>
      </c>
      <c r="B93" s="149" t="s">
        <v>244</v>
      </c>
      <c r="C93" s="196">
        <f t="shared" si="3"/>
        <v>29108</v>
      </c>
      <c r="D93" s="213">
        <v>1231</v>
      </c>
      <c r="E93" s="187">
        <v>27877</v>
      </c>
      <c r="F93" s="186">
        <f t="shared" si="6"/>
        <v>252</v>
      </c>
      <c r="G93" s="187">
        <v>189</v>
      </c>
      <c r="H93" s="187">
        <v>14</v>
      </c>
      <c r="I93" s="187">
        <v>63</v>
      </c>
      <c r="J93" s="187">
        <v>189</v>
      </c>
      <c r="K93" s="186">
        <f t="shared" si="4"/>
        <v>5752</v>
      </c>
      <c r="L93" s="187">
        <v>938</v>
      </c>
      <c r="M93" s="187">
        <v>4814</v>
      </c>
      <c r="N93" s="186">
        <f t="shared" si="9"/>
        <v>449</v>
      </c>
      <c r="O93" s="187">
        <v>294</v>
      </c>
      <c r="P93" s="187">
        <v>28</v>
      </c>
      <c r="Q93" s="187">
        <v>155</v>
      </c>
      <c r="R93" s="187">
        <v>369</v>
      </c>
    </row>
    <row r="94" spans="1:18" s="97" customFormat="1" ht="15.75">
      <c r="A94" s="144">
        <v>57</v>
      </c>
      <c r="B94" s="149" t="s">
        <v>245</v>
      </c>
      <c r="C94" s="196">
        <f t="shared" si="3"/>
        <v>52</v>
      </c>
      <c r="D94" s="213">
        <v>51</v>
      </c>
      <c r="E94" s="187">
        <v>1</v>
      </c>
      <c r="F94" s="186">
        <f t="shared" si="6"/>
        <v>2</v>
      </c>
      <c r="G94" s="187">
        <v>1</v>
      </c>
      <c r="H94" s="187"/>
      <c r="I94" s="187">
        <v>1</v>
      </c>
      <c r="J94" s="187">
        <v>2</v>
      </c>
      <c r="K94" s="186">
        <f t="shared" si="4"/>
        <v>1424</v>
      </c>
      <c r="L94" s="187">
        <v>1249</v>
      </c>
      <c r="M94" s="187">
        <v>175</v>
      </c>
      <c r="N94" s="293">
        <f>O94+Q94</f>
        <v>131</v>
      </c>
      <c r="O94" s="187">
        <v>79</v>
      </c>
      <c r="P94" s="187">
        <v>10</v>
      </c>
      <c r="Q94" s="187">
        <v>52</v>
      </c>
      <c r="R94" s="292">
        <v>151</v>
      </c>
    </row>
    <row r="95" spans="1:18" s="93" customFormat="1" ht="15.75">
      <c r="A95" s="144">
        <v>58</v>
      </c>
      <c r="B95" s="149" t="s">
        <v>246</v>
      </c>
      <c r="C95" s="196">
        <f t="shared" si="3"/>
        <v>175</v>
      </c>
      <c r="D95" s="213">
        <v>174</v>
      </c>
      <c r="E95" s="187">
        <v>1</v>
      </c>
      <c r="F95" s="186">
        <f t="shared" si="6"/>
        <v>13</v>
      </c>
      <c r="G95" s="187">
        <v>12</v>
      </c>
      <c r="H95" s="187">
        <v>6</v>
      </c>
      <c r="I95" s="187">
        <v>1</v>
      </c>
      <c r="J95" s="187">
        <v>9</v>
      </c>
      <c r="K95" s="186">
        <f t="shared" si="4"/>
        <v>333</v>
      </c>
      <c r="L95" s="187">
        <v>294</v>
      </c>
      <c r="M95" s="187">
        <v>39</v>
      </c>
      <c r="N95" s="186">
        <f aca="true" t="shared" si="10" ref="N95:N100">O95+Q95</f>
        <v>136</v>
      </c>
      <c r="O95" s="187">
        <v>123</v>
      </c>
      <c r="P95" s="187">
        <v>16</v>
      </c>
      <c r="Q95" s="187">
        <v>13</v>
      </c>
      <c r="R95" s="187">
        <v>63</v>
      </c>
    </row>
    <row r="96" spans="1:18" s="97" customFormat="1" ht="15.75">
      <c r="A96" s="144">
        <v>59</v>
      </c>
      <c r="B96" s="149" t="s">
        <v>247</v>
      </c>
      <c r="C96" s="196">
        <f t="shared" si="3"/>
        <v>13039</v>
      </c>
      <c r="D96" s="213">
        <v>239</v>
      </c>
      <c r="E96" s="187">
        <v>12800</v>
      </c>
      <c r="F96" s="186">
        <f t="shared" si="6"/>
        <v>7</v>
      </c>
      <c r="G96" s="187">
        <v>2</v>
      </c>
      <c r="H96" s="342">
        <v>0</v>
      </c>
      <c r="I96" s="187">
        <v>5</v>
      </c>
      <c r="J96" s="187">
        <v>6</v>
      </c>
      <c r="K96" s="186">
        <f t="shared" si="4"/>
        <v>4108</v>
      </c>
      <c r="L96" s="187">
        <v>43</v>
      </c>
      <c r="M96" s="187">
        <v>4065</v>
      </c>
      <c r="N96" s="186">
        <f t="shared" si="10"/>
        <v>29</v>
      </c>
      <c r="O96" s="187">
        <v>29</v>
      </c>
      <c r="P96" s="342">
        <v>0</v>
      </c>
      <c r="Q96" s="342">
        <v>0</v>
      </c>
      <c r="R96" s="187">
        <v>29</v>
      </c>
    </row>
    <row r="97" spans="1:18" s="97" customFormat="1" ht="15.75">
      <c r="A97" s="144">
        <v>60</v>
      </c>
      <c r="B97" s="149" t="s">
        <v>248</v>
      </c>
      <c r="C97" s="196">
        <f t="shared" si="3"/>
        <v>3407</v>
      </c>
      <c r="D97" s="213">
        <v>408</v>
      </c>
      <c r="E97" s="187">
        <v>2999</v>
      </c>
      <c r="F97" s="186">
        <f t="shared" si="6"/>
        <v>41</v>
      </c>
      <c r="G97" s="292">
        <v>9</v>
      </c>
      <c r="H97" s="292">
        <v>25</v>
      </c>
      <c r="I97" s="187">
        <v>32</v>
      </c>
      <c r="J97" s="187">
        <v>39</v>
      </c>
      <c r="K97" s="186">
        <f t="shared" si="4"/>
        <v>528</v>
      </c>
      <c r="L97" s="187">
        <v>405</v>
      </c>
      <c r="M97" s="187">
        <v>123</v>
      </c>
      <c r="N97" s="186">
        <f t="shared" si="10"/>
        <v>138</v>
      </c>
      <c r="O97" s="187">
        <v>111</v>
      </c>
      <c r="P97" s="187">
        <v>38</v>
      </c>
      <c r="Q97" s="187">
        <v>27</v>
      </c>
      <c r="R97" s="187">
        <v>94</v>
      </c>
    </row>
    <row r="98" spans="1:18" s="97" customFormat="1" ht="15.75">
      <c r="A98" s="144">
        <v>61</v>
      </c>
      <c r="B98" s="149" t="s">
        <v>249</v>
      </c>
      <c r="C98" s="196">
        <f t="shared" si="3"/>
        <v>2550</v>
      </c>
      <c r="D98" s="213">
        <v>222</v>
      </c>
      <c r="E98" s="187">
        <v>2328</v>
      </c>
      <c r="F98" s="186">
        <f t="shared" si="6"/>
        <v>86</v>
      </c>
      <c r="G98" s="187">
        <v>86</v>
      </c>
      <c r="H98" s="187">
        <v>3</v>
      </c>
      <c r="I98" s="342">
        <v>0</v>
      </c>
      <c r="J98" s="187">
        <v>86</v>
      </c>
      <c r="K98" s="186">
        <f t="shared" si="4"/>
        <v>335</v>
      </c>
      <c r="L98" s="187">
        <v>246</v>
      </c>
      <c r="M98" s="187">
        <v>89</v>
      </c>
      <c r="N98" s="186">
        <f t="shared" si="10"/>
        <v>138</v>
      </c>
      <c r="O98" s="187">
        <v>106</v>
      </c>
      <c r="P98" s="342">
        <v>0</v>
      </c>
      <c r="Q98" s="187">
        <v>32</v>
      </c>
      <c r="R98" s="187">
        <v>138</v>
      </c>
    </row>
    <row r="99" spans="1:18" s="97" customFormat="1" ht="19.5" customHeight="1">
      <c r="A99" s="144">
        <v>62</v>
      </c>
      <c r="B99" s="149" t="s">
        <v>250</v>
      </c>
      <c r="C99" s="196">
        <f t="shared" si="3"/>
        <v>1508</v>
      </c>
      <c r="D99" s="213">
        <v>291</v>
      </c>
      <c r="E99" s="187">
        <v>1217</v>
      </c>
      <c r="F99" s="186">
        <f t="shared" si="6"/>
        <v>3</v>
      </c>
      <c r="G99" s="187">
        <v>3</v>
      </c>
      <c r="H99" s="187">
        <v>3</v>
      </c>
      <c r="I99" s="342">
        <v>0</v>
      </c>
      <c r="J99" s="187">
        <v>2</v>
      </c>
      <c r="K99" s="186">
        <f t="shared" si="4"/>
        <v>493</v>
      </c>
      <c r="L99" s="187">
        <v>129</v>
      </c>
      <c r="M99" s="187">
        <v>364</v>
      </c>
      <c r="N99" s="186">
        <f t="shared" si="10"/>
        <v>22</v>
      </c>
      <c r="O99" s="187">
        <v>5</v>
      </c>
      <c r="P99" s="342">
        <v>0</v>
      </c>
      <c r="Q99" s="187">
        <v>17</v>
      </c>
      <c r="R99" s="187">
        <v>1</v>
      </c>
    </row>
    <row r="100" spans="1:18" s="97" customFormat="1" ht="15.75">
      <c r="A100" s="144">
        <v>63</v>
      </c>
      <c r="B100" s="149" t="s">
        <v>251</v>
      </c>
      <c r="C100" s="196">
        <f t="shared" si="3"/>
        <v>39087</v>
      </c>
      <c r="D100" s="213">
        <v>749</v>
      </c>
      <c r="E100" s="187">
        <v>38338</v>
      </c>
      <c r="F100" s="186">
        <f t="shared" si="6"/>
        <v>34</v>
      </c>
      <c r="G100" s="187">
        <v>27</v>
      </c>
      <c r="H100" s="187">
        <v>8</v>
      </c>
      <c r="I100" s="187">
        <v>7</v>
      </c>
      <c r="J100" s="187">
        <v>8</v>
      </c>
      <c r="K100" s="186">
        <f t="shared" si="4"/>
        <v>8661</v>
      </c>
      <c r="L100" s="187">
        <v>580</v>
      </c>
      <c r="M100" s="187">
        <v>8081</v>
      </c>
      <c r="N100" s="186">
        <f t="shared" si="10"/>
        <v>34</v>
      </c>
      <c r="O100" s="187">
        <v>27</v>
      </c>
      <c r="P100" s="187">
        <v>7</v>
      </c>
      <c r="Q100" s="187">
        <v>7</v>
      </c>
      <c r="R100" s="187">
        <v>15</v>
      </c>
    </row>
    <row r="101" spans="1:18" s="10" customFormat="1" ht="15.75">
      <c r="A101"/>
      <c r="B101" s="115"/>
      <c r="C101" s="53"/>
      <c r="D101" s="53"/>
      <c r="E101"/>
      <c r="F101"/>
      <c r="G101"/>
      <c r="H101"/>
      <c r="I101"/>
      <c r="J101"/>
      <c r="K101"/>
      <c r="L101"/>
      <c r="M101"/>
      <c r="N101"/>
      <c r="O101"/>
      <c r="P101"/>
      <c r="Q101" s="53"/>
      <c r="R101" s="53"/>
    </row>
    <row r="102" spans="1:19" s="153" customFormat="1" ht="12.75">
      <c r="A102" s="43"/>
      <c r="B102" s="43" t="s">
        <v>254</v>
      </c>
      <c r="C102" s="32" t="s">
        <v>311</v>
      </c>
      <c r="D102" s="43"/>
      <c r="E102" s="43"/>
      <c r="F102" s="43"/>
      <c r="G102" s="43"/>
      <c r="H102" s="43"/>
      <c r="I102" s="43"/>
      <c r="J102" s="43"/>
      <c r="K102" s="151"/>
      <c r="L102" s="43"/>
      <c r="M102" s="43"/>
      <c r="N102" s="43"/>
      <c r="O102" s="43"/>
      <c r="P102" s="43"/>
      <c r="Q102" s="43"/>
      <c r="R102" s="43"/>
      <c r="S102" s="152"/>
    </row>
    <row r="103" spans="1:18" s="150" customFormat="1" ht="12.75">
      <c r="A103" s="43"/>
      <c r="B103" s="43" t="s">
        <v>290</v>
      </c>
      <c r="C103" s="43" t="s">
        <v>291</v>
      </c>
      <c r="E103" s="43"/>
      <c r="F103" s="43"/>
      <c r="G103" s="43"/>
      <c r="H103" s="43"/>
      <c r="I103" s="43"/>
      <c r="J103" s="43"/>
      <c r="K103" s="151"/>
      <c r="L103" s="43"/>
      <c r="M103" s="43"/>
      <c r="N103" s="43"/>
      <c r="O103" s="43"/>
      <c r="P103" s="43"/>
      <c r="Q103" s="43"/>
      <c r="R103" s="43"/>
    </row>
    <row r="104" spans="1:17" s="150" customFormat="1" ht="12.75">
      <c r="A104" s="43"/>
      <c r="B104" s="156"/>
      <c r="C104" s="156" t="s">
        <v>281</v>
      </c>
      <c r="D104" s="157"/>
      <c r="E104" s="156"/>
      <c r="F104" s="156"/>
      <c r="G104" s="156"/>
      <c r="H104" s="156"/>
      <c r="I104" s="156"/>
      <c r="J104" s="156"/>
      <c r="K104" s="151"/>
      <c r="L104" s="43"/>
      <c r="M104" s="43"/>
      <c r="N104" s="43"/>
      <c r="O104" s="43"/>
      <c r="P104" s="43"/>
      <c r="Q104" s="43"/>
    </row>
    <row r="105" spans="1:17" s="150" customFormat="1" ht="12.75">
      <c r="A105" s="43"/>
      <c r="B105" s="227"/>
      <c r="C105" s="43" t="s">
        <v>258</v>
      </c>
      <c r="E105" s="43"/>
      <c r="F105" s="43"/>
      <c r="G105" s="43"/>
      <c r="H105" s="43"/>
      <c r="I105" s="43"/>
      <c r="J105" s="43"/>
      <c r="K105" s="151"/>
      <c r="L105" s="43"/>
      <c r="M105" s="43"/>
      <c r="N105" s="43"/>
      <c r="O105" s="43"/>
      <c r="P105" s="43"/>
      <c r="Q105" s="43"/>
    </row>
    <row r="106" spans="1:17" s="150" customFormat="1" ht="12.75">
      <c r="A106" s="43"/>
      <c r="B106" s="251"/>
      <c r="C106" s="43" t="s">
        <v>285</v>
      </c>
      <c r="D106" s="43"/>
      <c r="E106" s="43"/>
      <c r="F106" s="43"/>
      <c r="G106" s="43"/>
      <c r="H106" s="43"/>
      <c r="I106" s="43"/>
      <c r="J106" s="43"/>
      <c r="K106" s="43"/>
      <c r="L106" s="43"/>
      <c r="M106" s="43"/>
      <c r="N106" s="43"/>
      <c r="O106" s="43"/>
      <c r="P106" s="43"/>
      <c r="Q106" s="43"/>
    </row>
    <row r="107" spans="1:17" s="150" customFormat="1" ht="12.75">
      <c r="A107" s="43"/>
      <c r="B107" s="228"/>
      <c r="C107" s="43" t="s">
        <v>286</v>
      </c>
      <c r="D107" s="43"/>
      <c r="E107" s="43"/>
      <c r="F107" s="43"/>
      <c r="G107" s="43"/>
      <c r="H107" s="43"/>
      <c r="I107" s="43"/>
      <c r="J107" s="43"/>
      <c r="K107" s="43"/>
      <c r="L107" s="43"/>
      <c r="M107" s="43"/>
      <c r="N107" s="43"/>
      <c r="O107" s="43"/>
      <c r="P107" s="43"/>
      <c r="Q107" s="43"/>
    </row>
    <row r="108" spans="2:17" s="5" customFormat="1" ht="12.75">
      <c r="B108" s="252"/>
      <c r="C108" s="43" t="s">
        <v>288</v>
      </c>
      <c r="L108" s="16"/>
      <c r="Q108"/>
    </row>
    <row r="109" spans="1:18" s="10" customFormat="1" ht="12.75">
      <c r="A109"/>
      <c r="B109" s="80"/>
      <c r="C109" s="53"/>
      <c r="D109"/>
      <c r="E109"/>
      <c r="F109"/>
      <c r="G109"/>
      <c r="H109"/>
      <c r="I109"/>
      <c r="J109"/>
      <c r="K109" s="90"/>
      <c r="L109"/>
      <c r="M109"/>
      <c r="N109"/>
      <c r="O109"/>
      <c r="P109"/>
      <c r="Q109"/>
      <c r="R109"/>
    </row>
    <row r="110" spans="1:19" s="153" customFormat="1" ht="12.75">
      <c r="A110" s="43"/>
      <c r="B110" s="43" t="s">
        <v>312</v>
      </c>
      <c r="C110" s="32"/>
      <c r="D110" s="43"/>
      <c r="E110" s="43"/>
      <c r="F110" s="43"/>
      <c r="G110" s="43"/>
      <c r="H110" s="43"/>
      <c r="I110" s="43"/>
      <c r="J110" s="43"/>
      <c r="K110" s="151"/>
      <c r="L110" s="43"/>
      <c r="M110" s="43"/>
      <c r="N110" s="43"/>
      <c r="O110" s="43"/>
      <c r="P110" s="43"/>
      <c r="Q110" s="43"/>
      <c r="R110" s="43"/>
      <c r="S110" s="152"/>
    </row>
    <row r="111" spans="1:18" s="10" customFormat="1" ht="15.75">
      <c r="A111"/>
      <c r="B111" s="115"/>
      <c r="C111" s="53"/>
      <c r="D111" s="53"/>
      <c r="E111"/>
      <c r="F111"/>
      <c r="G111"/>
      <c r="H111"/>
      <c r="I111"/>
      <c r="J111"/>
      <c r="K111"/>
      <c r="L111"/>
      <c r="M111"/>
      <c r="N111"/>
      <c r="O111"/>
      <c r="P111"/>
      <c r="Q111" s="53"/>
      <c r="R111" s="53"/>
    </row>
    <row r="112" spans="1:18" s="10" customFormat="1" ht="15.75">
      <c r="A112"/>
      <c r="B112" s="115"/>
      <c r="C112" s="53"/>
      <c r="D112" s="53"/>
      <c r="E112"/>
      <c r="F112"/>
      <c r="G112"/>
      <c r="H112"/>
      <c r="I112"/>
      <c r="J112"/>
      <c r="K112"/>
      <c r="L112"/>
      <c r="M112"/>
      <c r="N112"/>
      <c r="O112"/>
      <c r="P112"/>
      <c r="Q112" s="53"/>
      <c r="R112" s="53"/>
    </row>
    <row r="113" spans="1:18" s="10" customFormat="1" ht="15.75">
      <c r="A113"/>
      <c r="B113" s="115"/>
      <c r="C113" s="53"/>
      <c r="D113" s="53"/>
      <c r="E113"/>
      <c r="F113"/>
      <c r="G113"/>
      <c r="H113"/>
      <c r="I113"/>
      <c r="J113"/>
      <c r="K113"/>
      <c r="L113"/>
      <c r="M113"/>
      <c r="N113"/>
      <c r="O113"/>
      <c r="P113"/>
      <c r="Q113" s="53"/>
      <c r="R113" s="53"/>
    </row>
    <row r="114" spans="1:18" s="10" customFormat="1" ht="15.75">
      <c r="A114"/>
      <c r="B114" s="115"/>
      <c r="C114" s="53"/>
      <c r="D114" s="53"/>
      <c r="E114"/>
      <c r="F114"/>
      <c r="G114"/>
      <c r="H114"/>
      <c r="I114"/>
      <c r="J114"/>
      <c r="K114"/>
      <c r="L114"/>
      <c r="M114"/>
      <c r="N114"/>
      <c r="O114"/>
      <c r="P114"/>
      <c r="Q114" s="53"/>
      <c r="R114" s="53"/>
    </row>
    <row r="115" spans="1:18" s="10" customFormat="1" ht="15.75">
      <c r="A115"/>
      <c r="B115" s="115"/>
      <c r="C115" s="53"/>
      <c r="D115" s="53"/>
      <c r="E115"/>
      <c r="F115"/>
      <c r="G115"/>
      <c r="H115"/>
      <c r="I115"/>
      <c r="J115"/>
      <c r="K115"/>
      <c r="L115"/>
      <c r="M115"/>
      <c r="N115"/>
      <c r="O115"/>
      <c r="P115"/>
      <c r="Q115" s="53"/>
      <c r="R115" s="53"/>
    </row>
    <row r="116" spans="1:18" s="10" customFormat="1" ht="15.75">
      <c r="A116"/>
      <c r="B116" s="115"/>
      <c r="C116" s="53"/>
      <c r="D116" s="53"/>
      <c r="E116"/>
      <c r="F116"/>
      <c r="G116"/>
      <c r="H116"/>
      <c r="I116"/>
      <c r="J116"/>
      <c r="K116"/>
      <c r="L116"/>
      <c r="M116"/>
      <c r="N116"/>
      <c r="O116"/>
      <c r="P116"/>
      <c r="Q116" s="53"/>
      <c r="R116" s="53"/>
    </row>
    <row r="117" spans="1:18" s="10" customFormat="1" ht="15.75">
      <c r="A117"/>
      <c r="B117" s="115"/>
      <c r="C117" s="53"/>
      <c r="D117" s="53"/>
      <c r="E117"/>
      <c r="F117"/>
      <c r="G117"/>
      <c r="H117"/>
      <c r="I117"/>
      <c r="J117"/>
      <c r="K117"/>
      <c r="L117"/>
      <c r="M117"/>
      <c r="N117"/>
      <c r="O117"/>
      <c r="P117"/>
      <c r="Q117" s="53"/>
      <c r="R117" s="53"/>
    </row>
    <row r="118" spans="1:18" s="11" customFormat="1" ht="15.75">
      <c r="A118"/>
      <c r="B118" s="115"/>
      <c r="C118" s="53"/>
      <c r="D118" s="53"/>
      <c r="E118"/>
      <c r="F118"/>
      <c r="G118"/>
      <c r="H118"/>
      <c r="I118"/>
      <c r="J118"/>
      <c r="K118"/>
      <c r="L118"/>
      <c r="M118"/>
      <c r="N118"/>
      <c r="O118"/>
      <c r="P118"/>
      <c r="Q118" s="53"/>
      <c r="R118" s="53"/>
    </row>
    <row r="119" spans="1:18" s="10" customFormat="1" ht="15.75">
      <c r="A119"/>
      <c r="B119" s="115"/>
      <c r="C119" s="53"/>
      <c r="D119" s="53"/>
      <c r="E119"/>
      <c r="F119"/>
      <c r="G119"/>
      <c r="H119"/>
      <c r="I119"/>
      <c r="J119"/>
      <c r="K119"/>
      <c r="L119"/>
      <c r="M119"/>
      <c r="N119"/>
      <c r="O119"/>
      <c r="P119"/>
      <c r="Q119" s="53"/>
      <c r="R119" s="53"/>
    </row>
    <row r="120" spans="1:18" s="10" customFormat="1" ht="15.75">
      <c r="A120"/>
      <c r="B120" s="115"/>
      <c r="C120" s="53"/>
      <c r="D120" s="53"/>
      <c r="E120"/>
      <c r="F120"/>
      <c r="G120"/>
      <c r="H120"/>
      <c r="I120"/>
      <c r="J120"/>
      <c r="K120"/>
      <c r="L120"/>
      <c r="M120"/>
      <c r="N120"/>
      <c r="O120"/>
      <c r="P120"/>
      <c r="Q120" s="53"/>
      <c r="R120" s="53"/>
    </row>
    <row r="121" spans="1:18" s="55" customFormat="1" ht="15.75">
      <c r="A121"/>
      <c r="B121" s="115"/>
      <c r="C121" s="53"/>
      <c r="D121" s="53"/>
      <c r="E121"/>
      <c r="F121"/>
      <c r="G121"/>
      <c r="H121"/>
      <c r="I121"/>
      <c r="J121"/>
      <c r="K121"/>
      <c r="L121"/>
      <c r="M121"/>
      <c r="N121"/>
      <c r="O121"/>
      <c r="P121"/>
      <c r="Q121" s="53"/>
      <c r="R121" s="53"/>
    </row>
    <row r="122" spans="1:18" s="11" customFormat="1" ht="15.75">
      <c r="A122"/>
      <c r="B122" s="115"/>
      <c r="C122" s="53"/>
      <c r="D122" s="53"/>
      <c r="E122"/>
      <c r="F122"/>
      <c r="G122"/>
      <c r="H122"/>
      <c r="I122"/>
      <c r="J122"/>
      <c r="K122"/>
      <c r="L122"/>
      <c r="M122"/>
      <c r="N122"/>
      <c r="O122"/>
      <c r="P122"/>
      <c r="Q122" s="53"/>
      <c r="R122" s="53"/>
    </row>
    <row r="123" spans="1:18" s="10" customFormat="1" ht="15.75">
      <c r="A123"/>
      <c r="B123" s="115"/>
      <c r="C123" s="53"/>
      <c r="D123" s="53"/>
      <c r="E123"/>
      <c r="F123"/>
      <c r="G123"/>
      <c r="H123"/>
      <c r="I123"/>
      <c r="J123"/>
      <c r="K123"/>
      <c r="L123"/>
      <c r="M123"/>
      <c r="N123"/>
      <c r="O123"/>
      <c r="P123"/>
      <c r="Q123" s="53"/>
      <c r="R123" s="53"/>
    </row>
    <row r="124" spans="1:18" s="10" customFormat="1" ht="15.75">
      <c r="A124"/>
      <c r="B124" s="115"/>
      <c r="C124" s="53"/>
      <c r="D124" s="53"/>
      <c r="E124"/>
      <c r="F124"/>
      <c r="G124"/>
      <c r="H124"/>
      <c r="I124"/>
      <c r="J124"/>
      <c r="K124"/>
      <c r="L124"/>
      <c r="M124"/>
      <c r="N124"/>
      <c r="O124"/>
      <c r="P124"/>
      <c r="Q124" s="53"/>
      <c r="R124" s="53"/>
    </row>
    <row r="125" spans="1:18" s="11" customFormat="1" ht="15.75">
      <c r="A125"/>
      <c r="B125" s="115"/>
      <c r="C125" s="53"/>
      <c r="D125" s="53"/>
      <c r="E125"/>
      <c r="F125"/>
      <c r="G125"/>
      <c r="H125"/>
      <c r="I125"/>
      <c r="J125"/>
      <c r="K125"/>
      <c r="L125"/>
      <c r="M125"/>
      <c r="N125"/>
      <c r="O125"/>
      <c r="P125"/>
      <c r="Q125" s="53"/>
      <c r="R125" s="53"/>
    </row>
    <row r="126" spans="1:18" s="10" customFormat="1" ht="15.75">
      <c r="A126"/>
      <c r="B126" s="115"/>
      <c r="C126" s="53"/>
      <c r="D126" s="53"/>
      <c r="E126"/>
      <c r="F126"/>
      <c r="G126"/>
      <c r="H126"/>
      <c r="I126"/>
      <c r="J126"/>
      <c r="K126"/>
      <c r="L126"/>
      <c r="M126"/>
      <c r="N126"/>
      <c r="O126"/>
      <c r="P126"/>
      <c r="Q126" s="53"/>
      <c r="R126" s="53"/>
    </row>
    <row r="127" spans="1:18" s="10" customFormat="1" ht="15.75">
      <c r="A127"/>
      <c r="B127" s="115"/>
      <c r="C127" s="53"/>
      <c r="D127" s="53"/>
      <c r="E127"/>
      <c r="F127"/>
      <c r="G127"/>
      <c r="H127"/>
      <c r="I127"/>
      <c r="J127"/>
      <c r="K127"/>
      <c r="L127"/>
      <c r="M127"/>
      <c r="N127"/>
      <c r="O127"/>
      <c r="P127"/>
      <c r="Q127" s="53"/>
      <c r="R127" s="53"/>
    </row>
    <row r="128" spans="1:18" s="10" customFormat="1" ht="15.75">
      <c r="A128"/>
      <c r="B128" s="115"/>
      <c r="C128" s="53"/>
      <c r="D128" s="53"/>
      <c r="E128"/>
      <c r="F128"/>
      <c r="G128"/>
      <c r="H128"/>
      <c r="I128"/>
      <c r="J128"/>
      <c r="K128"/>
      <c r="L128"/>
      <c r="M128"/>
      <c r="N128"/>
      <c r="O128"/>
      <c r="P128"/>
      <c r="Q128" s="53"/>
      <c r="R128" s="53"/>
    </row>
    <row r="129" spans="1:18" s="10" customFormat="1" ht="15.75">
      <c r="A129"/>
      <c r="B129" s="115"/>
      <c r="C129" s="53"/>
      <c r="D129" s="53"/>
      <c r="E129"/>
      <c r="F129"/>
      <c r="G129"/>
      <c r="H129"/>
      <c r="I129"/>
      <c r="J129"/>
      <c r="K129"/>
      <c r="L129"/>
      <c r="M129"/>
      <c r="N129"/>
      <c r="O129"/>
      <c r="P129"/>
      <c r="Q129" s="53"/>
      <c r="R129" s="53"/>
    </row>
    <row r="130" spans="1:18" s="11" customFormat="1" ht="15.75">
      <c r="A130"/>
      <c r="B130" s="115"/>
      <c r="C130" s="53"/>
      <c r="D130" s="53"/>
      <c r="E130"/>
      <c r="F130"/>
      <c r="G130"/>
      <c r="H130"/>
      <c r="I130"/>
      <c r="J130"/>
      <c r="K130"/>
      <c r="L130"/>
      <c r="M130"/>
      <c r="N130"/>
      <c r="O130"/>
      <c r="P130"/>
      <c r="Q130" s="53"/>
      <c r="R130" s="53"/>
    </row>
    <row r="131" spans="1:18" s="10" customFormat="1" ht="15.75">
      <c r="A131"/>
      <c r="B131" s="115"/>
      <c r="C131" s="53"/>
      <c r="D131" s="53"/>
      <c r="E131"/>
      <c r="F131"/>
      <c r="G131"/>
      <c r="H131"/>
      <c r="I131"/>
      <c r="J131"/>
      <c r="K131"/>
      <c r="L131"/>
      <c r="M131"/>
      <c r="N131"/>
      <c r="O131"/>
      <c r="P131"/>
      <c r="Q131" s="53"/>
      <c r="R131" s="53"/>
    </row>
    <row r="132" spans="1:18" s="10" customFormat="1" ht="15.75">
      <c r="A132"/>
      <c r="B132" s="115"/>
      <c r="C132" s="53"/>
      <c r="D132" s="53"/>
      <c r="E132"/>
      <c r="F132"/>
      <c r="G132"/>
      <c r="H132"/>
      <c r="I132"/>
      <c r="J132"/>
      <c r="K132"/>
      <c r="L132"/>
      <c r="M132"/>
      <c r="N132"/>
      <c r="O132"/>
      <c r="P132"/>
      <c r="Q132" s="53"/>
      <c r="R132" s="53"/>
    </row>
    <row r="133" spans="1:18" s="10" customFormat="1" ht="15.75">
      <c r="A133"/>
      <c r="B133" s="115"/>
      <c r="C133" s="53"/>
      <c r="D133" s="53"/>
      <c r="E133"/>
      <c r="F133"/>
      <c r="G133"/>
      <c r="H133"/>
      <c r="I133"/>
      <c r="J133"/>
      <c r="K133"/>
      <c r="L133"/>
      <c r="M133"/>
      <c r="N133"/>
      <c r="O133"/>
      <c r="P133"/>
      <c r="Q133" s="53"/>
      <c r="R133" s="53"/>
    </row>
    <row r="134" spans="1:18" s="10" customFormat="1" ht="15.75">
      <c r="A134"/>
      <c r="B134" s="115"/>
      <c r="C134" s="53"/>
      <c r="D134" s="53"/>
      <c r="E134"/>
      <c r="F134"/>
      <c r="G134"/>
      <c r="H134"/>
      <c r="I134"/>
      <c r="J134"/>
      <c r="K134"/>
      <c r="L134"/>
      <c r="M134"/>
      <c r="N134"/>
      <c r="O134"/>
      <c r="P134"/>
      <c r="Q134" s="53"/>
      <c r="R134" s="53"/>
    </row>
    <row r="135" spans="1:18" s="10" customFormat="1" ht="15.75">
      <c r="A135"/>
      <c r="B135" s="115"/>
      <c r="C135" s="53"/>
      <c r="D135" s="53"/>
      <c r="E135"/>
      <c r="F135"/>
      <c r="G135"/>
      <c r="H135"/>
      <c r="I135"/>
      <c r="J135"/>
      <c r="K135"/>
      <c r="L135"/>
      <c r="M135"/>
      <c r="N135"/>
      <c r="O135"/>
      <c r="P135"/>
      <c r="Q135" s="53"/>
      <c r="R135" s="53"/>
    </row>
    <row r="136" spans="1:18" s="10" customFormat="1" ht="15.75">
      <c r="A136"/>
      <c r="B136" s="115"/>
      <c r="C136" s="53"/>
      <c r="D136" s="53"/>
      <c r="E136"/>
      <c r="F136"/>
      <c r="G136"/>
      <c r="H136"/>
      <c r="I136"/>
      <c r="J136"/>
      <c r="K136"/>
      <c r="L136"/>
      <c r="M136"/>
      <c r="N136"/>
      <c r="O136"/>
      <c r="P136"/>
      <c r="Q136" s="53"/>
      <c r="R136" s="53"/>
    </row>
    <row r="137" spans="1:18" s="11" customFormat="1" ht="15.75">
      <c r="A137"/>
      <c r="B137" s="115"/>
      <c r="C137" s="53"/>
      <c r="D137" s="53"/>
      <c r="E137"/>
      <c r="F137"/>
      <c r="G137"/>
      <c r="H137"/>
      <c r="I137"/>
      <c r="J137"/>
      <c r="K137"/>
      <c r="L137"/>
      <c r="M137"/>
      <c r="N137"/>
      <c r="O137"/>
      <c r="P137"/>
      <c r="Q137" s="53"/>
      <c r="R137" s="53"/>
    </row>
    <row r="138" spans="1:18" s="10" customFormat="1" ht="15.75">
      <c r="A138"/>
      <c r="B138" s="115"/>
      <c r="C138" s="53"/>
      <c r="D138" s="53"/>
      <c r="E138"/>
      <c r="F138"/>
      <c r="G138"/>
      <c r="H138"/>
      <c r="I138"/>
      <c r="J138"/>
      <c r="K138"/>
      <c r="L138"/>
      <c r="M138"/>
      <c r="N138"/>
      <c r="O138"/>
      <c r="P138"/>
      <c r="Q138" s="53"/>
      <c r="R138" s="53"/>
    </row>
    <row r="139" spans="1:18" s="31" customFormat="1" ht="15.75">
      <c r="A139"/>
      <c r="B139" s="115"/>
      <c r="C139" s="53"/>
      <c r="D139" s="53"/>
      <c r="E139"/>
      <c r="F139"/>
      <c r="G139"/>
      <c r="H139"/>
      <c r="I139"/>
      <c r="J139"/>
      <c r="K139"/>
      <c r="L139"/>
      <c r="M139"/>
      <c r="N139"/>
      <c r="O139"/>
      <c r="P139"/>
      <c r="Q139" s="53"/>
      <c r="R139" s="53"/>
    </row>
    <row r="140" spans="1:18" s="11" customFormat="1" ht="15.75">
      <c r="A140"/>
      <c r="B140" s="115"/>
      <c r="C140" s="53"/>
      <c r="D140" s="53"/>
      <c r="E140"/>
      <c r="F140"/>
      <c r="G140"/>
      <c r="H140"/>
      <c r="I140"/>
      <c r="J140"/>
      <c r="K140"/>
      <c r="L140"/>
      <c r="M140"/>
      <c r="N140"/>
      <c r="O140"/>
      <c r="P140"/>
      <c r="Q140" s="53"/>
      <c r="R140" s="53"/>
    </row>
    <row r="141" spans="2:18" s="11" customFormat="1" ht="28.5" customHeight="1">
      <c r="B141" s="117"/>
      <c r="Q141" s="55"/>
      <c r="R141" s="55"/>
    </row>
    <row r="142" spans="5:18" ht="15.75">
      <c r="E142"/>
      <c r="F142"/>
      <c r="G142"/>
      <c r="H142"/>
      <c r="I142"/>
      <c r="J142"/>
      <c r="K142"/>
      <c r="L142"/>
      <c r="M142"/>
      <c r="N142"/>
      <c r="O142"/>
      <c r="P142"/>
      <c r="Q142" s="53"/>
      <c r="R142" s="53"/>
    </row>
    <row r="143" spans="5:18" ht="15.75">
      <c r="E143"/>
      <c r="F143"/>
      <c r="G143"/>
      <c r="H143"/>
      <c r="I143"/>
      <c r="J143"/>
      <c r="K143"/>
      <c r="L143"/>
      <c r="M143"/>
      <c r="N143"/>
      <c r="O143"/>
      <c r="P143"/>
      <c r="Q143" s="53"/>
      <c r="R143" s="53"/>
    </row>
    <row r="144" spans="5:18" ht="15.75">
      <c r="E144"/>
      <c r="F144"/>
      <c r="G144"/>
      <c r="H144"/>
      <c r="I144"/>
      <c r="J144"/>
      <c r="K144"/>
      <c r="L144"/>
      <c r="M144"/>
      <c r="N144"/>
      <c r="O144"/>
      <c r="P144"/>
      <c r="Q144" s="53"/>
      <c r="R144" s="53"/>
    </row>
    <row r="145" spans="5:18" ht="15.75">
      <c r="E145"/>
      <c r="F145"/>
      <c r="G145"/>
      <c r="H145"/>
      <c r="I145"/>
      <c r="J145"/>
      <c r="K145"/>
      <c r="L145"/>
      <c r="M145"/>
      <c r="N145"/>
      <c r="O145"/>
      <c r="P145"/>
      <c r="Q145" s="53"/>
      <c r="R145" s="53"/>
    </row>
    <row r="146" spans="5:18" ht="15.75">
      <c r="E146"/>
      <c r="F146"/>
      <c r="G146"/>
      <c r="H146"/>
      <c r="I146"/>
      <c r="J146"/>
      <c r="K146"/>
      <c r="L146"/>
      <c r="M146"/>
      <c r="N146"/>
      <c r="O146"/>
      <c r="P146"/>
      <c r="Q146" s="53"/>
      <c r="R146" s="53"/>
    </row>
    <row r="147" spans="5:18" ht="15.75">
      <c r="E147"/>
      <c r="F147"/>
      <c r="G147"/>
      <c r="H147"/>
      <c r="I147"/>
      <c r="J147"/>
      <c r="K147"/>
      <c r="L147"/>
      <c r="M147"/>
      <c r="N147"/>
      <c r="O147"/>
      <c r="P147"/>
      <c r="Q147" s="53"/>
      <c r="R147" s="53"/>
    </row>
    <row r="148" spans="5:18" ht="15.75">
      <c r="E148"/>
      <c r="F148"/>
      <c r="G148"/>
      <c r="H148"/>
      <c r="I148"/>
      <c r="J148"/>
      <c r="K148"/>
      <c r="L148"/>
      <c r="M148"/>
      <c r="N148"/>
      <c r="O148"/>
      <c r="P148"/>
      <c r="Q148" s="53"/>
      <c r="R148" s="53"/>
    </row>
    <row r="149" spans="5:18" ht="15.75">
      <c r="E149"/>
      <c r="F149"/>
      <c r="G149"/>
      <c r="H149"/>
      <c r="I149"/>
      <c r="J149"/>
      <c r="K149"/>
      <c r="L149"/>
      <c r="M149"/>
      <c r="N149"/>
      <c r="O149"/>
      <c r="P149"/>
      <c r="Q149" s="53"/>
      <c r="R149" s="53"/>
    </row>
    <row r="150" spans="5:18" ht="15.75">
      <c r="E150"/>
      <c r="F150"/>
      <c r="G150"/>
      <c r="H150"/>
      <c r="I150"/>
      <c r="J150"/>
      <c r="K150"/>
      <c r="L150"/>
      <c r="M150"/>
      <c r="N150"/>
      <c r="O150"/>
      <c r="P150"/>
      <c r="Q150" s="53"/>
      <c r="R150" s="53"/>
    </row>
    <row r="151" spans="5:18" ht="15.75">
      <c r="E151"/>
      <c r="F151"/>
      <c r="G151"/>
      <c r="H151"/>
      <c r="I151"/>
      <c r="J151"/>
      <c r="K151"/>
      <c r="L151"/>
      <c r="M151"/>
      <c r="N151"/>
      <c r="O151"/>
      <c r="P151"/>
      <c r="Q151" s="53"/>
      <c r="R151" s="53"/>
    </row>
    <row r="152" spans="5:18" ht="15.75">
      <c r="E152"/>
      <c r="F152"/>
      <c r="G152"/>
      <c r="H152"/>
      <c r="I152"/>
      <c r="J152"/>
      <c r="K152"/>
      <c r="L152"/>
      <c r="M152"/>
      <c r="N152"/>
      <c r="O152"/>
      <c r="P152"/>
      <c r="Q152" s="53"/>
      <c r="R152" s="53"/>
    </row>
    <row r="153" spans="5:18" ht="15.75">
      <c r="E153"/>
      <c r="F153"/>
      <c r="G153"/>
      <c r="H153"/>
      <c r="I153"/>
      <c r="J153"/>
      <c r="K153"/>
      <c r="L153"/>
      <c r="M153"/>
      <c r="N153"/>
      <c r="O153"/>
      <c r="P153"/>
      <c r="Q153" s="53"/>
      <c r="R153" s="53"/>
    </row>
    <row r="154" spans="5:18" ht="15.75">
      <c r="E154"/>
      <c r="F154"/>
      <c r="G154"/>
      <c r="H154"/>
      <c r="I154"/>
      <c r="J154"/>
      <c r="K154"/>
      <c r="L154"/>
      <c r="M154"/>
      <c r="N154"/>
      <c r="O154"/>
      <c r="P154"/>
      <c r="Q154" s="53"/>
      <c r="R154" s="53"/>
    </row>
    <row r="155" spans="5:18" ht="15.75">
      <c r="E155"/>
      <c r="F155"/>
      <c r="G155"/>
      <c r="H155"/>
      <c r="I155"/>
      <c r="J155"/>
      <c r="K155"/>
      <c r="L155"/>
      <c r="M155"/>
      <c r="N155"/>
      <c r="O155"/>
      <c r="P155"/>
      <c r="Q155" s="53"/>
      <c r="R155" s="53"/>
    </row>
    <row r="156" spans="5:18" ht="15.75">
      <c r="E156"/>
      <c r="F156"/>
      <c r="G156"/>
      <c r="H156"/>
      <c r="I156"/>
      <c r="J156"/>
      <c r="K156"/>
      <c r="L156"/>
      <c r="M156"/>
      <c r="N156"/>
      <c r="O156"/>
      <c r="P156"/>
      <c r="Q156" s="53"/>
      <c r="R156" s="53"/>
    </row>
    <row r="157" spans="5:18" ht="15.75">
      <c r="E157"/>
      <c r="F157"/>
      <c r="G157"/>
      <c r="H157"/>
      <c r="I157"/>
      <c r="J157"/>
      <c r="K157"/>
      <c r="L157"/>
      <c r="M157"/>
      <c r="N157"/>
      <c r="O157"/>
      <c r="P157"/>
      <c r="Q157" s="53"/>
      <c r="R157" s="53"/>
    </row>
    <row r="158" spans="5:18" ht="15.75">
      <c r="E158"/>
      <c r="F158"/>
      <c r="G158"/>
      <c r="H158"/>
      <c r="I158"/>
      <c r="J158"/>
      <c r="K158"/>
      <c r="L158"/>
      <c r="M158"/>
      <c r="N158"/>
      <c r="O158"/>
      <c r="P158"/>
      <c r="Q158" s="53"/>
      <c r="R158" s="53"/>
    </row>
    <row r="159" spans="5:18" ht="15.75">
      <c r="E159"/>
      <c r="F159"/>
      <c r="G159"/>
      <c r="H159"/>
      <c r="I159"/>
      <c r="J159"/>
      <c r="K159"/>
      <c r="L159"/>
      <c r="M159"/>
      <c r="N159"/>
      <c r="O159"/>
      <c r="P159"/>
      <c r="Q159" s="53"/>
      <c r="R159" s="53"/>
    </row>
    <row r="160" spans="5:18" ht="15.75">
      <c r="E160"/>
      <c r="F160"/>
      <c r="G160"/>
      <c r="H160"/>
      <c r="I160"/>
      <c r="J160"/>
      <c r="K160"/>
      <c r="L160"/>
      <c r="M160"/>
      <c r="N160"/>
      <c r="O160"/>
      <c r="P160"/>
      <c r="Q160" s="53"/>
      <c r="R160" s="53"/>
    </row>
    <row r="161" spans="5:18" ht="15.75">
      <c r="E161"/>
      <c r="F161"/>
      <c r="G161"/>
      <c r="H161"/>
      <c r="I161"/>
      <c r="J161"/>
      <c r="K161"/>
      <c r="L161"/>
      <c r="M161"/>
      <c r="N161"/>
      <c r="O161"/>
      <c r="P161"/>
      <c r="Q161" s="53"/>
      <c r="R161" s="53"/>
    </row>
    <row r="162" spans="5:18" ht="15.75">
      <c r="E162"/>
      <c r="F162"/>
      <c r="G162"/>
      <c r="H162"/>
      <c r="I162"/>
      <c r="J162"/>
      <c r="K162"/>
      <c r="L162"/>
      <c r="M162"/>
      <c r="N162"/>
      <c r="O162"/>
      <c r="P162"/>
      <c r="Q162" s="53"/>
      <c r="R162" s="53"/>
    </row>
    <row r="163" spans="5:18" ht="15.75">
      <c r="E163"/>
      <c r="F163"/>
      <c r="G163"/>
      <c r="H163"/>
      <c r="I163"/>
      <c r="J163"/>
      <c r="K163"/>
      <c r="L163"/>
      <c r="M163"/>
      <c r="N163"/>
      <c r="O163"/>
      <c r="P163"/>
      <c r="Q163" s="53"/>
      <c r="R163" s="53"/>
    </row>
    <row r="164" spans="5:18" ht="15.75">
      <c r="E164"/>
      <c r="F164"/>
      <c r="G164"/>
      <c r="H164"/>
      <c r="I164"/>
      <c r="J164"/>
      <c r="K164"/>
      <c r="L164"/>
      <c r="M164"/>
      <c r="N164"/>
      <c r="O164"/>
      <c r="P164"/>
      <c r="Q164" s="53"/>
      <c r="R164" s="53"/>
    </row>
    <row r="165" spans="5:18" ht="15.75">
      <c r="E165"/>
      <c r="F165"/>
      <c r="G165"/>
      <c r="H165"/>
      <c r="I165"/>
      <c r="J165"/>
      <c r="K165"/>
      <c r="L165"/>
      <c r="M165"/>
      <c r="N165"/>
      <c r="O165"/>
      <c r="P165"/>
      <c r="Q165" s="53"/>
      <c r="R165" s="53"/>
    </row>
    <row r="166" spans="5:18" ht="15.75">
      <c r="E166"/>
      <c r="F166"/>
      <c r="G166"/>
      <c r="H166"/>
      <c r="I166"/>
      <c r="J166"/>
      <c r="K166"/>
      <c r="L166"/>
      <c r="M166"/>
      <c r="N166"/>
      <c r="O166"/>
      <c r="P166"/>
      <c r="Q166" s="53"/>
      <c r="R166" s="53"/>
    </row>
    <row r="167" spans="5:18" ht="15.75">
      <c r="E167"/>
      <c r="F167"/>
      <c r="G167"/>
      <c r="H167"/>
      <c r="I167"/>
      <c r="J167"/>
      <c r="K167"/>
      <c r="L167"/>
      <c r="M167"/>
      <c r="N167"/>
      <c r="O167"/>
      <c r="P167"/>
      <c r="Q167" s="53"/>
      <c r="R167" s="53"/>
    </row>
    <row r="168" spans="5:18" ht="15.75">
      <c r="E168"/>
      <c r="F168"/>
      <c r="G168"/>
      <c r="H168"/>
      <c r="I168"/>
      <c r="J168"/>
      <c r="K168"/>
      <c r="L168"/>
      <c r="M168"/>
      <c r="N168"/>
      <c r="O168"/>
      <c r="P168"/>
      <c r="Q168" s="53"/>
      <c r="R168" s="53"/>
    </row>
    <row r="169" spans="5:18" ht="15.75">
      <c r="E169"/>
      <c r="F169"/>
      <c r="G169"/>
      <c r="H169"/>
      <c r="I169"/>
      <c r="J169"/>
      <c r="K169"/>
      <c r="L169"/>
      <c r="M169"/>
      <c r="N169"/>
      <c r="O169"/>
      <c r="P169"/>
      <c r="Q169" s="53"/>
      <c r="R169" s="53"/>
    </row>
    <row r="170" spans="5:18" ht="15.75">
      <c r="E170"/>
      <c r="F170"/>
      <c r="G170"/>
      <c r="H170"/>
      <c r="I170"/>
      <c r="J170"/>
      <c r="K170"/>
      <c r="L170"/>
      <c r="M170"/>
      <c r="N170"/>
      <c r="O170"/>
      <c r="P170"/>
      <c r="Q170" s="53"/>
      <c r="R170" s="53"/>
    </row>
    <row r="171" spans="5:18" ht="15.75">
      <c r="E171"/>
      <c r="F171"/>
      <c r="G171"/>
      <c r="H171"/>
      <c r="I171"/>
      <c r="J171"/>
      <c r="K171"/>
      <c r="L171"/>
      <c r="M171"/>
      <c r="N171"/>
      <c r="O171"/>
      <c r="P171"/>
      <c r="Q171" s="53"/>
      <c r="R171" s="53"/>
    </row>
    <row r="172" spans="5:18" ht="15.75">
      <c r="E172"/>
      <c r="F172"/>
      <c r="G172"/>
      <c r="H172"/>
      <c r="I172"/>
      <c r="J172"/>
      <c r="K172"/>
      <c r="L172"/>
      <c r="M172"/>
      <c r="N172"/>
      <c r="O172"/>
      <c r="P172"/>
      <c r="Q172" s="53"/>
      <c r="R172" s="53"/>
    </row>
    <row r="173" spans="5:18" ht="15.75">
      <c r="E173"/>
      <c r="F173"/>
      <c r="G173"/>
      <c r="H173"/>
      <c r="I173"/>
      <c r="J173"/>
      <c r="K173"/>
      <c r="L173"/>
      <c r="M173"/>
      <c r="N173"/>
      <c r="O173"/>
      <c r="P173"/>
      <c r="Q173" s="53"/>
      <c r="R173" s="53"/>
    </row>
    <row r="174" spans="5:18" ht="15.75">
      <c r="E174"/>
      <c r="F174"/>
      <c r="G174"/>
      <c r="H174"/>
      <c r="I174"/>
      <c r="J174"/>
      <c r="K174"/>
      <c r="L174"/>
      <c r="M174"/>
      <c r="N174"/>
      <c r="O174"/>
      <c r="P174"/>
      <c r="Q174" s="53"/>
      <c r="R174" s="53"/>
    </row>
    <row r="175" spans="5:18" ht="15.75">
      <c r="E175"/>
      <c r="F175"/>
      <c r="G175"/>
      <c r="H175"/>
      <c r="I175"/>
      <c r="J175"/>
      <c r="K175"/>
      <c r="L175"/>
      <c r="M175"/>
      <c r="N175"/>
      <c r="O175"/>
      <c r="P175"/>
      <c r="Q175" s="53"/>
      <c r="R175" s="53"/>
    </row>
    <row r="176" spans="5:18" ht="15.75">
      <c r="E176"/>
      <c r="F176"/>
      <c r="G176"/>
      <c r="H176"/>
      <c r="I176"/>
      <c r="J176"/>
      <c r="K176"/>
      <c r="L176"/>
      <c r="M176"/>
      <c r="N176"/>
      <c r="O176"/>
      <c r="P176"/>
      <c r="Q176" s="53"/>
      <c r="R176" s="53"/>
    </row>
    <row r="177" spans="5:18" ht="15.75">
      <c r="E177"/>
      <c r="F177"/>
      <c r="G177"/>
      <c r="H177"/>
      <c r="I177"/>
      <c r="J177"/>
      <c r="K177"/>
      <c r="L177"/>
      <c r="M177"/>
      <c r="N177"/>
      <c r="O177"/>
      <c r="P177"/>
      <c r="Q177" s="53"/>
      <c r="R177" s="53"/>
    </row>
    <row r="178" spans="5:18" ht="15.75">
      <c r="E178"/>
      <c r="F178"/>
      <c r="G178"/>
      <c r="H178"/>
      <c r="I178"/>
      <c r="J178"/>
      <c r="K178"/>
      <c r="L178"/>
      <c r="M178"/>
      <c r="N178"/>
      <c r="O178"/>
      <c r="P178"/>
      <c r="Q178" s="53"/>
      <c r="R178" s="53"/>
    </row>
    <row r="179" spans="5:18" ht="15.75">
      <c r="E179"/>
      <c r="F179"/>
      <c r="G179"/>
      <c r="H179"/>
      <c r="I179"/>
      <c r="J179"/>
      <c r="K179"/>
      <c r="L179"/>
      <c r="M179"/>
      <c r="N179"/>
      <c r="O179"/>
      <c r="P179"/>
      <c r="Q179" s="53"/>
      <c r="R179" s="53"/>
    </row>
    <row r="180" spans="5:18" ht="15.75">
      <c r="E180"/>
      <c r="F180"/>
      <c r="G180"/>
      <c r="H180"/>
      <c r="I180"/>
      <c r="J180"/>
      <c r="K180"/>
      <c r="L180"/>
      <c r="M180"/>
      <c r="N180"/>
      <c r="O180"/>
      <c r="P180"/>
      <c r="Q180" s="53"/>
      <c r="R180" s="53"/>
    </row>
    <row r="181" spans="5:18" ht="15.75">
      <c r="E181"/>
      <c r="F181"/>
      <c r="G181"/>
      <c r="H181"/>
      <c r="I181"/>
      <c r="J181"/>
      <c r="K181"/>
      <c r="L181"/>
      <c r="M181"/>
      <c r="N181"/>
      <c r="O181"/>
      <c r="P181"/>
      <c r="Q181" s="53"/>
      <c r="R181" s="53"/>
    </row>
    <row r="182" spans="5:18" ht="15.75">
      <c r="E182"/>
      <c r="F182"/>
      <c r="G182"/>
      <c r="H182"/>
      <c r="I182"/>
      <c r="J182"/>
      <c r="K182"/>
      <c r="L182"/>
      <c r="M182"/>
      <c r="N182"/>
      <c r="O182"/>
      <c r="P182"/>
      <c r="Q182" s="53"/>
      <c r="R182" s="53"/>
    </row>
    <row r="183" spans="5:18" ht="15.75">
      <c r="E183"/>
      <c r="F183"/>
      <c r="G183"/>
      <c r="H183"/>
      <c r="I183"/>
      <c r="J183"/>
      <c r="K183"/>
      <c r="L183"/>
      <c r="M183"/>
      <c r="N183"/>
      <c r="O183"/>
      <c r="P183"/>
      <c r="Q183" s="53"/>
      <c r="R183" s="53"/>
    </row>
    <row r="184" spans="5:18" ht="15.75">
      <c r="E184"/>
      <c r="F184"/>
      <c r="G184"/>
      <c r="H184"/>
      <c r="I184"/>
      <c r="J184"/>
      <c r="K184"/>
      <c r="L184"/>
      <c r="M184"/>
      <c r="N184"/>
      <c r="O184"/>
      <c r="P184"/>
      <c r="Q184" s="53"/>
      <c r="R184" s="53"/>
    </row>
    <row r="185" spans="5:18" ht="15.75">
      <c r="E185"/>
      <c r="F185"/>
      <c r="G185"/>
      <c r="H185"/>
      <c r="I185"/>
      <c r="J185"/>
      <c r="K185"/>
      <c r="L185"/>
      <c r="M185"/>
      <c r="N185"/>
      <c r="O185"/>
      <c r="P185"/>
      <c r="Q185" s="53"/>
      <c r="R185" s="53"/>
    </row>
    <row r="186" spans="5:18" ht="15.75">
      <c r="E186"/>
      <c r="F186"/>
      <c r="G186"/>
      <c r="H186"/>
      <c r="I186"/>
      <c r="J186"/>
      <c r="K186"/>
      <c r="L186"/>
      <c r="M186"/>
      <c r="N186"/>
      <c r="O186"/>
      <c r="P186"/>
      <c r="Q186" s="53"/>
      <c r="R186" s="53"/>
    </row>
    <row r="187" spans="5:18" ht="15.75">
      <c r="E187"/>
      <c r="F187"/>
      <c r="G187"/>
      <c r="H187"/>
      <c r="I187"/>
      <c r="J187"/>
      <c r="K187"/>
      <c r="L187"/>
      <c r="M187"/>
      <c r="N187"/>
      <c r="O187"/>
      <c r="P187"/>
      <c r="Q187" s="53"/>
      <c r="R187" s="53"/>
    </row>
    <row r="188" spans="5:18" ht="15.75">
      <c r="E188"/>
      <c r="F188"/>
      <c r="G188"/>
      <c r="H188"/>
      <c r="I188"/>
      <c r="J188"/>
      <c r="K188"/>
      <c r="L188"/>
      <c r="M188"/>
      <c r="N188"/>
      <c r="O188"/>
      <c r="P188"/>
      <c r="Q188" s="53"/>
      <c r="R188" s="53"/>
    </row>
    <row r="189" spans="5:18" ht="15.75">
      <c r="E189"/>
      <c r="F189"/>
      <c r="G189"/>
      <c r="H189"/>
      <c r="I189"/>
      <c r="J189"/>
      <c r="K189"/>
      <c r="L189"/>
      <c r="M189"/>
      <c r="N189"/>
      <c r="O189"/>
      <c r="P189"/>
      <c r="Q189" s="53"/>
      <c r="R189" s="53"/>
    </row>
    <row r="190" spans="5:18" ht="15.75">
      <c r="E190"/>
      <c r="F190"/>
      <c r="G190"/>
      <c r="H190"/>
      <c r="I190"/>
      <c r="J190"/>
      <c r="K190"/>
      <c r="L190"/>
      <c r="M190"/>
      <c r="N190"/>
      <c r="O190"/>
      <c r="P190"/>
      <c r="Q190" s="53"/>
      <c r="R190" s="53"/>
    </row>
    <row r="191" spans="5:18" ht="15.75">
      <c r="E191"/>
      <c r="F191"/>
      <c r="G191"/>
      <c r="H191"/>
      <c r="I191"/>
      <c r="J191"/>
      <c r="K191"/>
      <c r="L191"/>
      <c r="M191"/>
      <c r="N191"/>
      <c r="O191"/>
      <c r="P191"/>
      <c r="Q191" s="53"/>
      <c r="R191" s="53"/>
    </row>
    <row r="192" spans="5:18" ht="15.75">
      <c r="E192"/>
      <c r="F192"/>
      <c r="G192"/>
      <c r="H192"/>
      <c r="I192"/>
      <c r="J192"/>
      <c r="K192"/>
      <c r="L192"/>
      <c r="M192"/>
      <c r="N192"/>
      <c r="O192"/>
      <c r="P192"/>
      <c r="Q192" s="53"/>
      <c r="R192" s="53"/>
    </row>
    <row r="193" spans="5:18" ht="15.75">
      <c r="E193"/>
      <c r="F193"/>
      <c r="G193"/>
      <c r="H193"/>
      <c r="I193"/>
      <c r="J193"/>
      <c r="K193"/>
      <c r="L193"/>
      <c r="M193"/>
      <c r="N193"/>
      <c r="O193"/>
      <c r="P193"/>
      <c r="Q193" s="53"/>
      <c r="R193" s="53"/>
    </row>
    <row r="194" spans="5:18" ht="15.75">
      <c r="E194"/>
      <c r="F194"/>
      <c r="G194"/>
      <c r="H194"/>
      <c r="I194"/>
      <c r="J194"/>
      <c r="K194"/>
      <c r="L194"/>
      <c r="M194"/>
      <c r="N194"/>
      <c r="O194"/>
      <c r="P194"/>
      <c r="Q194" s="53"/>
      <c r="R194" s="53"/>
    </row>
    <row r="195" spans="5:18" ht="15.75">
      <c r="E195"/>
      <c r="F195"/>
      <c r="G195"/>
      <c r="H195"/>
      <c r="I195"/>
      <c r="J195"/>
      <c r="K195"/>
      <c r="L195"/>
      <c r="M195"/>
      <c r="N195"/>
      <c r="O195"/>
      <c r="P195"/>
      <c r="Q195" s="53"/>
      <c r="R195" s="53"/>
    </row>
    <row r="196" spans="5:18" ht="15.75">
      <c r="E196"/>
      <c r="F196"/>
      <c r="G196"/>
      <c r="H196"/>
      <c r="I196"/>
      <c r="J196"/>
      <c r="K196"/>
      <c r="L196"/>
      <c r="M196"/>
      <c r="N196"/>
      <c r="O196"/>
      <c r="P196"/>
      <c r="Q196" s="53"/>
      <c r="R196" s="53"/>
    </row>
    <row r="197" spans="5:18" ht="15.75">
      <c r="E197"/>
      <c r="F197"/>
      <c r="G197"/>
      <c r="H197"/>
      <c r="I197"/>
      <c r="J197"/>
      <c r="K197"/>
      <c r="L197"/>
      <c r="M197"/>
      <c r="N197"/>
      <c r="O197"/>
      <c r="P197"/>
      <c r="Q197" s="53"/>
      <c r="R197" s="53"/>
    </row>
    <row r="198" spans="5:18" ht="15.75">
      <c r="E198"/>
      <c r="F198"/>
      <c r="G198"/>
      <c r="H198"/>
      <c r="I198"/>
      <c r="J198"/>
      <c r="K198"/>
      <c r="L198"/>
      <c r="M198"/>
      <c r="N198"/>
      <c r="O198"/>
      <c r="P198"/>
      <c r="Q198" s="53"/>
      <c r="R198" s="53"/>
    </row>
    <row r="199" spans="5:18" ht="15.75">
      <c r="E199"/>
      <c r="F199"/>
      <c r="G199"/>
      <c r="H199"/>
      <c r="I199"/>
      <c r="J199"/>
      <c r="K199"/>
      <c r="L199"/>
      <c r="M199"/>
      <c r="N199"/>
      <c r="O199"/>
      <c r="P199"/>
      <c r="Q199" s="53"/>
      <c r="R199" s="53"/>
    </row>
    <row r="200" spans="5:18" ht="15.75">
      <c r="E200"/>
      <c r="F200"/>
      <c r="G200"/>
      <c r="H200"/>
      <c r="I200"/>
      <c r="J200"/>
      <c r="K200"/>
      <c r="L200"/>
      <c r="M200"/>
      <c r="N200"/>
      <c r="O200"/>
      <c r="P200"/>
      <c r="Q200" s="53"/>
      <c r="R200" s="53"/>
    </row>
    <row r="201" spans="5:18" ht="15.75">
      <c r="E201"/>
      <c r="F201"/>
      <c r="G201"/>
      <c r="H201"/>
      <c r="I201"/>
      <c r="J201"/>
      <c r="K201"/>
      <c r="L201"/>
      <c r="M201"/>
      <c r="N201"/>
      <c r="O201"/>
      <c r="P201"/>
      <c r="Q201" s="53"/>
      <c r="R201" s="53"/>
    </row>
    <row r="202" spans="5:18" ht="15.75">
      <c r="E202"/>
      <c r="F202"/>
      <c r="G202"/>
      <c r="H202"/>
      <c r="I202"/>
      <c r="J202"/>
      <c r="K202"/>
      <c r="L202"/>
      <c r="M202"/>
      <c r="N202"/>
      <c r="O202"/>
      <c r="P202"/>
      <c r="Q202" s="53"/>
      <c r="R202" s="53"/>
    </row>
    <row r="203" spans="5:18" ht="15.75">
      <c r="E203"/>
      <c r="F203"/>
      <c r="G203"/>
      <c r="H203"/>
      <c r="I203"/>
      <c r="J203"/>
      <c r="K203"/>
      <c r="L203"/>
      <c r="M203"/>
      <c r="N203"/>
      <c r="O203"/>
      <c r="P203"/>
      <c r="Q203" s="53"/>
      <c r="R203" s="53"/>
    </row>
    <row r="204" spans="5:18" ht="15.75">
      <c r="E204"/>
      <c r="F204"/>
      <c r="G204"/>
      <c r="H204"/>
      <c r="I204"/>
      <c r="J204"/>
      <c r="K204"/>
      <c r="L204"/>
      <c r="M204"/>
      <c r="N204"/>
      <c r="O204"/>
      <c r="P204"/>
      <c r="Q204" s="53"/>
      <c r="R204" s="53"/>
    </row>
    <row r="205" spans="5:18" ht="15.75">
      <c r="E205"/>
      <c r="F205"/>
      <c r="G205"/>
      <c r="H205"/>
      <c r="I205"/>
      <c r="J205"/>
      <c r="K205"/>
      <c r="L205"/>
      <c r="M205"/>
      <c r="N205"/>
      <c r="O205"/>
      <c r="P205"/>
      <c r="Q205" s="53"/>
      <c r="R205" s="53"/>
    </row>
    <row r="206" spans="5:18" ht="15.75">
      <c r="E206"/>
      <c r="F206"/>
      <c r="G206"/>
      <c r="H206"/>
      <c r="I206"/>
      <c r="J206"/>
      <c r="K206"/>
      <c r="L206"/>
      <c r="M206"/>
      <c r="N206"/>
      <c r="O206"/>
      <c r="P206"/>
      <c r="Q206" s="53"/>
      <c r="R206" s="53"/>
    </row>
    <row r="207" spans="5:18" ht="15.75">
      <c r="E207"/>
      <c r="F207"/>
      <c r="G207"/>
      <c r="H207"/>
      <c r="I207"/>
      <c r="J207"/>
      <c r="K207"/>
      <c r="L207"/>
      <c r="M207"/>
      <c r="N207"/>
      <c r="O207"/>
      <c r="P207"/>
      <c r="Q207" s="53"/>
      <c r="R207" s="53"/>
    </row>
    <row r="208" spans="5:18" ht="15.75">
      <c r="E208"/>
      <c r="F208"/>
      <c r="G208"/>
      <c r="H208"/>
      <c r="I208"/>
      <c r="J208"/>
      <c r="K208"/>
      <c r="L208"/>
      <c r="M208"/>
      <c r="N208"/>
      <c r="O208"/>
      <c r="P208"/>
      <c r="Q208" s="53"/>
      <c r="R208" s="53"/>
    </row>
    <row r="209" spans="5:18" ht="15.75">
      <c r="E209"/>
      <c r="F209"/>
      <c r="G209"/>
      <c r="H209"/>
      <c r="I209"/>
      <c r="J209"/>
      <c r="K209"/>
      <c r="L209"/>
      <c r="M209"/>
      <c r="N209"/>
      <c r="O209"/>
      <c r="P209"/>
      <c r="Q209" s="53"/>
      <c r="R209" s="53"/>
    </row>
    <row r="210" spans="5:18" ht="15.75">
      <c r="E210"/>
      <c r="F210"/>
      <c r="G210"/>
      <c r="H210"/>
      <c r="I210"/>
      <c r="J210"/>
      <c r="K210"/>
      <c r="L210"/>
      <c r="M210"/>
      <c r="N210"/>
      <c r="O210"/>
      <c r="P210"/>
      <c r="Q210" s="53"/>
      <c r="R210" s="53"/>
    </row>
    <row r="211" spans="5:18" ht="15.75">
      <c r="E211"/>
      <c r="F211"/>
      <c r="G211"/>
      <c r="H211"/>
      <c r="I211"/>
      <c r="J211"/>
      <c r="K211"/>
      <c r="L211"/>
      <c r="M211"/>
      <c r="N211"/>
      <c r="O211"/>
      <c r="P211"/>
      <c r="Q211" s="53"/>
      <c r="R211" s="53"/>
    </row>
    <row r="212" spans="5:18" ht="15.75">
      <c r="E212"/>
      <c r="F212"/>
      <c r="G212"/>
      <c r="H212"/>
      <c r="I212"/>
      <c r="J212"/>
      <c r="K212"/>
      <c r="L212"/>
      <c r="M212"/>
      <c r="N212"/>
      <c r="O212"/>
      <c r="P212"/>
      <c r="Q212" s="53"/>
      <c r="R212" s="53"/>
    </row>
    <row r="213" spans="5:18" ht="15.75">
      <c r="E213"/>
      <c r="F213"/>
      <c r="G213"/>
      <c r="H213"/>
      <c r="I213"/>
      <c r="J213"/>
      <c r="K213"/>
      <c r="L213"/>
      <c r="M213"/>
      <c r="N213"/>
      <c r="O213"/>
      <c r="P213"/>
      <c r="Q213" s="53"/>
      <c r="R213" s="53"/>
    </row>
    <row r="214" spans="5:18" ht="15.75">
      <c r="E214"/>
      <c r="F214"/>
      <c r="G214"/>
      <c r="H214"/>
      <c r="I214"/>
      <c r="J214"/>
      <c r="K214"/>
      <c r="L214"/>
      <c r="M214"/>
      <c r="N214"/>
      <c r="O214"/>
      <c r="P214"/>
      <c r="Q214" s="53"/>
      <c r="R214" s="53"/>
    </row>
    <row r="215" spans="5:18" ht="15.75">
      <c r="E215"/>
      <c r="F215"/>
      <c r="G215"/>
      <c r="H215"/>
      <c r="I215"/>
      <c r="J215"/>
      <c r="K215"/>
      <c r="L215"/>
      <c r="M215"/>
      <c r="N215"/>
      <c r="O215"/>
      <c r="P215"/>
      <c r="Q215" s="53"/>
      <c r="R215" s="53"/>
    </row>
    <row r="216" spans="5:18" ht="15.75">
      <c r="E216"/>
      <c r="F216"/>
      <c r="G216"/>
      <c r="H216"/>
      <c r="I216"/>
      <c r="J216"/>
      <c r="K216"/>
      <c r="L216"/>
      <c r="M216"/>
      <c r="N216"/>
      <c r="O216"/>
      <c r="P216"/>
      <c r="Q216" s="53"/>
      <c r="R216" s="53"/>
    </row>
    <row r="217" spans="5:18" ht="15.75">
      <c r="E217"/>
      <c r="F217"/>
      <c r="G217"/>
      <c r="H217"/>
      <c r="I217"/>
      <c r="J217"/>
      <c r="K217"/>
      <c r="L217"/>
      <c r="M217"/>
      <c r="N217"/>
      <c r="O217"/>
      <c r="P217"/>
      <c r="Q217" s="53"/>
      <c r="R217" s="53"/>
    </row>
    <row r="218" spans="5:18" ht="15.75">
      <c r="E218"/>
      <c r="F218"/>
      <c r="G218"/>
      <c r="H218"/>
      <c r="I218"/>
      <c r="J218"/>
      <c r="K218"/>
      <c r="L218"/>
      <c r="M218"/>
      <c r="N218"/>
      <c r="O218"/>
      <c r="P218"/>
      <c r="Q218" s="53"/>
      <c r="R218" s="53"/>
    </row>
    <row r="219" spans="5:18" ht="15.75">
      <c r="E219"/>
      <c r="F219"/>
      <c r="G219"/>
      <c r="H219"/>
      <c r="I219"/>
      <c r="J219"/>
      <c r="K219"/>
      <c r="L219"/>
      <c r="M219"/>
      <c r="N219"/>
      <c r="O219"/>
      <c r="P219"/>
      <c r="Q219" s="53"/>
      <c r="R219" s="53"/>
    </row>
    <row r="220" spans="5:18" ht="15.75">
      <c r="E220"/>
      <c r="F220"/>
      <c r="G220"/>
      <c r="H220"/>
      <c r="I220"/>
      <c r="J220"/>
      <c r="K220"/>
      <c r="L220"/>
      <c r="M220"/>
      <c r="N220"/>
      <c r="O220"/>
      <c r="P220"/>
      <c r="Q220" s="53"/>
      <c r="R220" s="53"/>
    </row>
    <row r="221" spans="5:18" ht="15.75">
      <c r="E221"/>
      <c r="F221"/>
      <c r="G221"/>
      <c r="H221"/>
      <c r="I221"/>
      <c r="J221"/>
      <c r="K221"/>
      <c r="L221"/>
      <c r="M221"/>
      <c r="N221"/>
      <c r="O221"/>
      <c r="P221"/>
      <c r="Q221" s="53"/>
      <c r="R221" s="53"/>
    </row>
    <row r="222" spans="5:18" ht="15.75">
      <c r="E222"/>
      <c r="F222"/>
      <c r="G222"/>
      <c r="H222"/>
      <c r="I222"/>
      <c r="J222"/>
      <c r="K222"/>
      <c r="L222"/>
      <c r="M222"/>
      <c r="N222"/>
      <c r="O222"/>
      <c r="P222"/>
      <c r="Q222" s="53"/>
      <c r="R222" s="53"/>
    </row>
    <row r="223" spans="5:18" ht="15.75">
      <c r="E223"/>
      <c r="F223"/>
      <c r="G223"/>
      <c r="H223"/>
      <c r="I223"/>
      <c r="J223"/>
      <c r="K223"/>
      <c r="L223"/>
      <c r="M223"/>
      <c r="N223"/>
      <c r="O223"/>
      <c r="P223"/>
      <c r="Q223" s="53"/>
      <c r="R223" s="53"/>
    </row>
    <row r="224" spans="5:18" ht="15.75">
      <c r="E224"/>
      <c r="F224"/>
      <c r="G224"/>
      <c r="H224"/>
      <c r="I224"/>
      <c r="J224"/>
      <c r="K224"/>
      <c r="L224"/>
      <c r="M224"/>
      <c r="N224"/>
      <c r="O224"/>
      <c r="P224"/>
      <c r="Q224" s="53"/>
      <c r="R224" s="53"/>
    </row>
    <row r="225" spans="5:18" ht="15.75">
      <c r="E225"/>
      <c r="F225"/>
      <c r="G225"/>
      <c r="H225"/>
      <c r="I225"/>
      <c r="J225"/>
      <c r="K225"/>
      <c r="L225"/>
      <c r="M225"/>
      <c r="N225"/>
      <c r="O225"/>
      <c r="P225"/>
      <c r="Q225" s="53"/>
      <c r="R225" s="53"/>
    </row>
    <row r="226" spans="5:18" ht="15.75">
      <c r="E226"/>
      <c r="F226"/>
      <c r="G226"/>
      <c r="H226"/>
      <c r="I226"/>
      <c r="J226"/>
      <c r="K226"/>
      <c r="L226"/>
      <c r="M226"/>
      <c r="N226"/>
      <c r="O226"/>
      <c r="P226"/>
      <c r="Q226" s="53"/>
      <c r="R226" s="53"/>
    </row>
    <row r="227" spans="5:18" ht="15.75">
      <c r="E227"/>
      <c r="F227"/>
      <c r="G227"/>
      <c r="H227"/>
      <c r="I227"/>
      <c r="J227"/>
      <c r="K227"/>
      <c r="L227"/>
      <c r="M227"/>
      <c r="N227"/>
      <c r="O227"/>
      <c r="P227"/>
      <c r="Q227" s="53"/>
      <c r="R227" s="53"/>
    </row>
    <row r="228" spans="5:18" ht="15.75">
      <c r="E228"/>
      <c r="F228"/>
      <c r="G228"/>
      <c r="H228"/>
      <c r="I228"/>
      <c r="J228"/>
      <c r="K228"/>
      <c r="L228"/>
      <c r="M228"/>
      <c r="N228"/>
      <c r="O228"/>
      <c r="P228"/>
      <c r="Q228" s="53"/>
      <c r="R228" s="53"/>
    </row>
    <row r="229" spans="5:18" ht="15.75">
      <c r="E229"/>
      <c r="F229"/>
      <c r="G229"/>
      <c r="H229"/>
      <c r="I229"/>
      <c r="J229"/>
      <c r="K229"/>
      <c r="L229"/>
      <c r="M229"/>
      <c r="N229"/>
      <c r="O229"/>
      <c r="P229"/>
      <c r="Q229" s="53"/>
      <c r="R229" s="53"/>
    </row>
    <row r="230" spans="5:18" ht="15.75">
      <c r="E230"/>
      <c r="F230"/>
      <c r="G230"/>
      <c r="H230"/>
      <c r="I230"/>
      <c r="J230"/>
      <c r="K230"/>
      <c r="L230"/>
      <c r="M230"/>
      <c r="N230"/>
      <c r="O230"/>
      <c r="P230"/>
      <c r="Q230" s="53"/>
      <c r="R230" s="53"/>
    </row>
    <row r="231" spans="5:18" ht="15.75">
      <c r="E231"/>
      <c r="F231"/>
      <c r="G231"/>
      <c r="H231"/>
      <c r="I231"/>
      <c r="J231"/>
      <c r="K231"/>
      <c r="L231"/>
      <c r="M231"/>
      <c r="N231"/>
      <c r="O231"/>
      <c r="P231"/>
      <c r="Q231" s="53"/>
      <c r="R231" s="53"/>
    </row>
    <row r="232" spans="5:18" ht="15.75">
      <c r="E232"/>
      <c r="F232"/>
      <c r="G232"/>
      <c r="H232"/>
      <c r="I232"/>
      <c r="J232"/>
      <c r="K232"/>
      <c r="L232"/>
      <c r="M232"/>
      <c r="N232"/>
      <c r="O232"/>
      <c r="P232"/>
      <c r="Q232" s="53"/>
      <c r="R232" s="53"/>
    </row>
    <row r="233" spans="5:18" ht="15.75">
      <c r="E233"/>
      <c r="F233"/>
      <c r="G233"/>
      <c r="H233"/>
      <c r="I233"/>
      <c r="J233"/>
      <c r="K233"/>
      <c r="L233"/>
      <c r="M233"/>
      <c r="N233"/>
      <c r="O233"/>
      <c r="P233"/>
      <c r="Q233" s="53"/>
      <c r="R233" s="53"/>
    </row>
    <row r="234" spans="5:18" ht="15.75">
      <c r="E234"/>
      <c r="F234"/>
      <c r="G234"/>
      <c r="H234"/>
      <c r="I234"/>
      <c r="J234"/>
      <c r="K234"/>
      <c r="L234"/>
      <c r="M234"/>
      <c r="N234"/>
      <c r="O234"/>
      <c r="P234"/>
      <c r="Q234" s="53"/>
      <c r="R234" s="53"/>
    </row>
    <row r="235" spans="5:18" ht="15.75">
      <c r="E235"/>
      <c r="F235"/>
      <c r="G235"/>
      <c r="H235"/>
      <c r="I235"/>
      <c r="J235"/>
      <c r="K235"/>
      <c r="L235"/>
      <c r="M235"/>
      <c r="N235"/>
      <c r="O235"/>
      <c r="P235"/>
      <c r="Q235" s="53"/>
      <c r="R235" s="53"/>
    </row>
    <row r="236" spans="5:18" ht="15.75">
      <c r="E236"/>
      <c r="F236"/>
      <c r="G236"/>
      <c r="H236"/>
      <c r="I236"/>
      <c r="J236"/>
      <c r="K236"/>
      <c r="L236"/>
      <c r="M236"/>
      <c r="N236"/>
      <c r="O236"/>
      <c r="P236"/>
      <c r="Q236" s="53"/>
      <c r="R236" s="53"/>
    </row>
    <row r="237" spans="5:18" ht="15.75">
      <c r="E237"/>
      <c r="F237"/>
      <c r="G237"/>
      <c r="H237"/>
      <c r="I237"/>
      <c r="J237"/>
      <c r="K237"/>
      <c r="L237"/>
      <c r="M237"/>
      <c r="N237"/>
      <c r="O237"/>
      <c r="P237"/>
      <c r="Q237" s="53"/>
      <c r="R237" s="53"/>
    </row>
    <row r="238" spans="5:18" ht="15.75">
      <c r="E238"/>
      <c r="F238"/>
      <c r="G238"/>
      <c r="H238"/>
      <c r="I238"/>
      <c r="J238"/>
      <c r="K238"/>
      <c r="L238"/>
      <c r="M238"/>
      <c r="N238"/>
      <c r="O238"/>
      <c r="P238"/>
      <c r="Q238" s="53"/>
      <c r="R238" s="53"/>
    </row>
    <row r="239" spans="5:18" ht="15.75">
      <c r="E239"/>
      <c r="F239"/>
      <c r="G239"/>
      <c r="H239"/>
      <c r="I239"/>
      <c r="J239"/>
      <c r="K239"/>
      <c r="L239"/>
      <c r="M239"/>
      <c r="N239"/>
      <c r="O239"/>
      <c r="P239"/>
      <c r="Q239" s="53"/>
      <c r="R239" s="53"/>
    </row>
    <row r="240" spans="5:18" ht="15.75">
      <c r="E240"/>
      <c r="F240"/>
      <c r="G240"/>
      <c r="H240"/>
      <c r="I240"/>
      <c r="J240"/>
      <c r="K240"/>
      <c r="L240"/>
      <c r="M240"/>
      <c r="N240"/>
      <c r="O240"/>
      <c r="P240"/>
      <c r="Q240" s="53"/>
      <c r="R240" s="53"/>
    </row>
    <row r="241" spans="5:18" ht="15.75">
      <c r="E241"/>
      <c r="F241"/>
      <c r="G241"/>
      <c r="H241"/>
      <c r="I241"/>
      <c r="J241"/>
      <c r="K241"/>
      <c r="L241"/>
      <c r="M241"/>
      <c r="N241"/>
      <c r="O241"/>
      <c r="P241"/>
      <c r="Q241" s="53"/>
      <c r="R241" s="53"/>
    </row>
    <row r="242" spans="5:18" ht="15.75">
      <c r="E242"/>
      <c r="F242"/>
      <c r="G242"/>
      <c r="H242"/>
      <c r="I242"/>
      <c r="J242"/>
      <c r="K242"/>
      <c r="L242"/>
      <c r="M242"/>
      <c r="N242"/>
      <c r="O242"/>
      <c r="P242"/>
      <c r="Q242" s="53"/>
      <c r="R242" s="53"/>
    </row>
    <row r="243" spans="5:18" ht="15.75">
      <c r="E243"/>
      <c r="F243"/>
      <c r="G243"/>
      <c r="H243"/>
      <c r="I243"/>
      <c r="J243"/>
      <c r="K243"/>
      <c r="L243"/>
      <c r="M243"/>
      <c r="N243"/>
      <c r="O243"/>
      <c r="P243"/>
      <c r="Q243" s="53"/>
      <c r="R243" s="53"/>
    </row>
    <row r="244" spans="5:18" ht="15.75">
      <c r="E244"/>
      <c r="F244"/>
      <c r="G244"/>
      <c r="H244"/>
      <c r="I244"/>
      <c r="J244"/>
      <c r="K244"/>
      <c r="L244"/>
      <c r="M244"/>
      <c r="N244"/>
      <c r="O244"/>
      <c r="P244"/>
      <c r="Q244" s="53"/>
      <c r="R244" s="53"/>
    </row>
    <row r="245" spans="5:18" ht="15.75">
      <c r="E245"/>
      <c r="F245"/>
      <c r="G245"/>
      <c r="H245"/>
      <c r="I245"/>
      <c r="J245"/>
      <c r="K245"/>
      <c r="L245"/>
      <c r="M245"/>
      <c r="N245"/>
      <c r="O245"/>
      <c r="P245"/>
      <c r="Q245" s="53"/>
      <c r="R245" s="53"/>
    </row>
    <row r="246" spans="5:18" ht="15.75">
      <c r="E246"/>
      <c r="F246"/>
      <c r="G246"/>
      <c r="H246"/>
      <c r="I246"/>
      <c r="J246"/>
      <c r="K246"/>
      <c r="L246"/>
      <c r="M246"/>
      <c r="N246"/>
      <c r="O246"/>
      <c r="P246"/>
      <c r="Q246" s="53"/>
      <c r="R246" s="53"/>
    </row>
    <row r="247" spans="5:18" ht="15.75">
      <c r="E247"/>
      <c r="F247"/>
      <c r="G247"/>
      <c r="H247"/>
      <c r="I247"/>
      <c r="J247"/>
      <c r="K247"/>
      <c r="L247"/>
      <c r="M247"/>
      <c r="N247"/>
      <c r="O247"/>
      <c r="P247"/>
      <c r="Q247" s="53"/>
      <c r="R247" s="53"/>
    </row>
    <row r="248" spans="5:18" ht="15.75">
      <c r="E248"/>
      <c r="F248"/>
      <c r="G248"/>
      <c r="H248"/>
      <c r="I248"/>
      <c r="J248"/>
      <c r="K248"/>
      <c r="L248"/>
      <c r="M248"/>
      <c r="N248"/>
      <c r="O248"/>
      <c r="P248"/>
      <c r="Q248" s="53"/>
      <c r="R248" s="53"/>
    </row>
    <row r="249" spans="5:18" ht="15.75">
      <c r="E249"/>
      <c r="F249"/>
      <c r="G249"/>
      <c r="H249"/>
      <c r="I249"/>
      <c r="J249"/>
      <c r="K249"/>
      <c r="L249"/>
      <c r="M249"/>
      <c r="N249"/>
      <c r="O249"/>
      <c r="P249"/>
      <c r="Q249" s="53"/>
      <c r="R249" s="53"/>
    </row>
    <row r="250" spans="5:18" ht="15.75">
      <c r="E250"/>
      <c r="F250"/>
      <c r="G250"/>
      <c r="H250"/>
      <c r="I250"/>
      <c r="J250"/>
      <c r="K250"/>
      <c r="L250"/>
      <c r="M250"/>
      <c r="N250"/>
      <c r="O250"/>
      <c r="P250"/>
      <c r="Q250" s="53"/>
      <c r="R250" s="53"/>
    </row>
    <row r="251" spans="5:18" ht="15.75">
      <c r="E251"/>
      <c r="F251"/>
      <c r="G251"/>
      <c r="H251"/>
      <c r="I251"/>
      <c r="J251"/>
      <c r="K251"/>
      <c r="L251"/>
      <c r="M251"/>
      <c r="N251"/>
      <c r="O251"/>
      <c r="P251"/>
      <c r="Q251" s="53"/>
      <c r="R251" s="53"/>
    </row>
    <row r="252" spans="5:18" ht="15.75">
      <c r="E252"/>
      <c r="F252"/>
      <c r="G252"/>
      <c r="H252"/>
      <c r="I252"/>
      <c r="J252"/>
      <c r="K252"/>
      <c r="L252"/>
      <c r="M252"/>
      <c r="N252"/>
      <c r="O252"/>
      <c r="P252"/>
      <c r="Q252" s="53"/>
      <c r="R252" s="53"/>
    </row>
    <row r="253" spans="5:18" ht="15.75">
      <c r="E253"/>
      <c r="F253"/>
      <c r="G253"/>
      <c r="H253"/>
      <c r="I253"/>
      <c r="J253"/>
      <c r="K253"/>
      <c r="L253"/>
      <c r="M253"/>
      <c r="N253"/>
      <c r="O253"/>
      <c r="P253"/>
      <c r="Q253" s="53"/>
      <c r="R253" s="53"/>
    </row>
    <row r="254" spans="5:18" ht="15.75">
      <c r="E254"/>
      <c r="F254"/>
      <c r="G254"/>
      <c r="H254"/>
      <c r="I254"/>
      <c r="J254"/>
      <c r="K254"/>
      <c r="L254"/>
      <c r="M254"/>
      <c r="N254"/>
      <c r="O254"/>
      <c r="P254"/>
      <c r="Q254" s="53"/>
      <c r="R254" s="53"/>
    </row>
    <row r="255" spans="5:18" ht="15.75">
      <c r="E255"/>
      <c r="F255"/>
      <c r="G255"/>
      <c r="H255"/>
      <c r="I255"/>
      <c r="J255"/>
      <c r="K255"/>
      <c r="L255"/>
      <c r="M255"/>
      <c r="N255"/>
      <c r="O255"/>
      <c r="P255"/>
      <c r="Q255" s="53"/>
      <c r="R255" s="53"/>
    </row>
    <row r="256" spans="5:18" ht="15.75">
      <c r="E256"/>
      <c r="F256"/>
      <c r="G256"/>
      <c r="H256"/>
      <c r="I256"/>
      <c r="J256"/>
      <c r="K256"/>
      <c r="L256"/>
      <c r="M256"/>
      <c r="N256"/>
      <c r="O256"/>
      <c r="P256"/>
      <c r="Q256" s="53"/>
      <c r="R256" s="53"/>
    </row>
    <row r="257" spans="5:18" ht="15.75">
      <c r="E257"/>
      <c r="F257"/>
      <c r="G257"/>
      <c r="H257"/>
      <c r="I257"/>
      <c r="J257"/>
      <c r="K257"/>
      <c r="L257"/>
      <c r="M257"/>
      <c r="N257"/>
      <c r="O257"/>
      <c r="P257"/>
      <c r="Q257" s="53"/>
      <c r="R257" s="53"/>
    </row>
    <row r="258" spans="5:18" ht="15.75">
      <c r="E258"/>
      <c r="F258"/>
      <c r="G258"/>
      <c r="H258"/>
      <c r="I258"/>
      <c r="J258"/>
      <c r="K258"/>
      <c r="L258"/>
      <c r="M258"/>
      <c r="N258"/>
      <c r="O258"/>
      <c r="P258"/>
      <c r="Q258" s="53"/>
      <c r="R258" s="53"/>
    </row>
    <row r="259" spans="5:18" ht="15.75">
      <c r="E259"/>
      <c r="F259"/>
      <c r="G259"/>
      <c r="H259"/>
      <c r="I259"/>
      <c r="J259"/>
      <c r="K259"/>
      <c r="L259"/>
      <c r="M259"/>
      <c r="N259"/>
      <c r="O259"/>
      <c r="P259"/>
      <c r="Q259" s="53"/>
      <c r="R259" s="53"/>
    </row>
    <row r="260" spans="5:18" ht="15.75">
      <c r="E260"/>
      <c r="F260"/>
      <c r="G260"/>
      <c r="H260"/>
      <c r="I260"/>
      <c r="J260"/>
      <c r="K260"/>
      <c r="L260"/>
      <c r="M260"/>
      <c r="N260"/>
      <c r="O260"/>
      <c r="P260"/>
      <c r="Q260" s="53"/>
      <c r="R260" s="53"/>
    </row>
    <row r="261" spans="5:18" ht="15.75">
      <c r="E261"/>
      <c r="F261"/>
      <c r="G261"/>
      <c r="H261"/>
      <c r="I261"/>
      <c r="J261"/>
      <c r="K261"/>
      <c r="L261"/>
      <c r="M261"/>
      <c r="N261"/>
      <c r="O261"/>
      <c r="P261"/>
      <c r="Q261" s="53"/>
      <c r="R261" s="53"/>
    </row>
    <row r="262" spans="5:18" ht="15.75">
      <c r="E262"/>
      <c r="F262"/>
      <c r="G262"/>
      <c r="H262"/>
      <c r="I262"/>
      <c r="J262"/>
      <c r="K262"/>
      <c r="L262"/>
      <c r="M262"/>
      <c r="N262"/>
      <c r="O262"/>
      <c r="P262"/>
      <c r="Q262" s="53"/>
      <c r="R262" s="53"/>
    </row>
    <row r="263" spans="5:18" ht="15.75">
      <c r="E263"/>
      <c r="F263"/>
      <c r="G263"/>
      <c r="H263"/>
      <c r="I263"/>
      <c r="J263"/>
      <c r="K263"/>
      <c r="L263"/>
      <c r="M263"/>
      <c r="N263"/>
      <c r="O263"/>
      <c r="P263"/>
      <c r="Q263" s="53"/>
      <c r="R263" s="53"/>
    </row>
    <row r="264" spans="5:18" ht="15.75">
      <c r="E264"/>
      <c r="F264"/>
      <c r="G264"/>
      <c r="H264"/>
      <c r="I264"/>
      <c r="J264"/>
      <c r="K264"/>
      <c r="L264"/>
      <c r="M264"/>
      <c r="N264"/>
      <c r="O264"/>
      <c r="P264"/>
      <c r="Q264" s="53"/>
      <c r="R264" s="53"/>
    </row>
    <row r="265" spans="5:18" ht="15.75">
      <c r="E265"/>
      <c r="F265"/>
      <c r="G265"/>
      <c r="H265"/>
      <c r="I265"/>
      <c r="J265"/>
      <c r="K265"/>
      <c r="L265"/>
      <c r="M265"/>
      <c r="N265"/>
      <c r="O265"/>
      <c r="P265"/>
      <c r="Q265" s="53"/>
      <c r="R265" s="53"/>
    </row>
    <row r="266" spans="5:18" ht="15.75">
      <c r="E266"/>
      <c r="F266"/>
      <c r="G266"/>
      <c r="H266"/>
      <c r="I266"/>
      <c r="J266"/>
      <c r="K266"/>
      <c r="L266"/>
      <c r="M266"/>
      <c r="N266"/>
      <c r="O266"/>
      <c r="P266"/>
      <c r="Q266" s="53"/>
      <c r="R266" s="53"/>
    </row>
    <row r="267" spans="5:18" ht="15.75">
      <c r="E267"/>
      <c r="F267"/>
      <c r="G267"/>
      <c r="H267"/>
      <c r="I267"/>
      <c r="J267"/>
      <c r="K267"/>
      <c r="L267"/>
      <c r="M267"/>
      <c r="N267"/>
      <c r="O267"/>
      <c r="P267"/>
      <c r="Q267" s="53"/>
      <c r="R267" s="53"/>
    </row>
    <row r="268" spans="5:18" ht="15.75">
      <c r="E268"/>
      <c r="F268"/>
      <c r="G268"/>
      <c r="H268"/>
      <c r="I268"/>
      <c r="J268"/>
      <c r="K268"/>
      <c r="L268"/>
      <c r="M268"/>
      <c r="N268"/>
      <c r="O268"/>
      <c r="P268"/>
      <c r="Q268" s="53"/>
      <c r="R268" s="53"/>
    </row>
    <row r="269" spans="5:18" ht="15.75">
      <c r="E269"/>
      <c r="F269"/>
      <c r="G269"/>
      <c r="H269"/>
      <c r="I269"/>
      <c r="J269"/>
      <c r="K269"/>
      <c r="L269"/>
      <c r="M269"/>
      <c r="N269"/>
      <c r="O269"/>
      <c r="P269"/>
      <c r="Q269" s="53"/>
      <c r="R269" s="53"/>
    </row>
    <row r="270" spans="5:18" ht="15.75">
      <c r="E270"/>
      <c r="F270"/>
      <c r="G270"/>
      <c r="H270"/>
      <c r="I270"/>
      <c r="J270"/>
      <c r="K270"/>
      <c r="L270"/>
      <c r="M270"/>
      <c r="N270"/>
      <c r="O270"/>
      <c r="P270"/>
      <c r="Q270" s="53"/>
      <c r="R270" s="53"/>
    </row>
    <row r="271" spans="5:18" ht="15.75">
      <c r="E271"/>
      <c r="F271"/>
      <c r="G271"/>
      <c r="H271"/>
      <c r="I271"/>
      <c r="J271"/>
      <c r="K271"/>
      <c r="L271"/>
      <c r="M271"/>
      <c r="N271"/>
      <c r="O271"/>
      <c r="P271"/>
      <c r="Q271" s="53"/>
      <c r="R271" s="53"/>
    </row>
    <row r="272" spans="5:18" ht="15.75">
      <c r="E272"/>
      <c r="F272"/>
      <c r="G272"/>
      <c r="H272"/>
      <c r="I272"/>
      <c r="J272"/>
      <c r="K272"/>
      <c r="L272"/>
      <c r="M272"/>
      <c r="N272"/>
      <c r="O272"/>
      <c r="P272"/>
      <c r="Q272" s="53"/>
      <c r="R272" s="53"/>
    </row>
    <row r="273" spans="5:18" ht="15.75">
      <c r="E273"/>
      <c r="F273"/>
      <c r="G273"/>
      <c r="H273"/>
      <c r="I273"/>
      <c r="J273"/>
      <c r="K273"/>
      <c r="L273"/>
      <c r="M273"/>
      <c r="N273"/>
      <c r="O273"/>
      <c r="P273"/>
      <c r="Q273" s="53"/>
      <c r="R273" s="53"/>
    </row>
    <row r="274" spans="5:18" ht="15.75">
      <c r="E274"/>
      <c r="F274"/>
      <c r="G274"/>
      <c r="H274"/>
      <c r="I274"/>
      <c r="J274"/>
      <c r="K274"/>
      <c r="L274"/>
      <c r="M274"/>
      <c r="N274"/>
      <c r="O274"/>
      <c r="P274"/>
      <c r="Q274" s="53"/>
      <c r="R274" s="53"/>
    </row>
    <row r="275" spans="5:18" ht="15.75">
      <c r="E275"/>
      <c r="F275"/>
      <c r="G275"/>
      <c r="H275"/>
      <c r="I275"/>
      <c r="J275"/>
      <c r="K275"/>
      <c r="L275"/>
      <c r="M275"/>
      <c r="N275"/>
      <c r="O275"/>
      <c r="P275"/>
      <c r="Q275" s="53"/>
      <c r="R275" s="53"/>
    </row>
    <row r="276" spans="5:18" ht="15.75">
      <c r="E276"/>
      <c r="F276"/>
      <c r="G276"/>
      <c r="H276"/>
      <c r="I276"/>
      <c r="J276"/>
      <c r="K276"/>
      <c r="L276"/>
      <c r="M276"/>
      <c r="N276"/>
      <c r="O276"/>
      <c r="P276"/>
      <c r="Q276" s="53"/>
      <c r="R276" s="53"/>
    </row>
    <row r="277" spans="5:18" ht="15.75">
      <c r="E277"/>
      <c r="F277"/>
      <c r="G277"/>
      <c r="H277"/>
      <c r="I277"/>
      <c r="J277"/>
      <c r="K277"/>
      <c r="L277"/>
      <c r="M277"/>
      <c r="N277"/>
      <c r="O277"/>
      <c r="P277"/>
      <c r="Q277" s="53"/>
      <c r="R277" s="53"/>
    </row>
    <row r="278" spans="5:18" ht="15.75">
      <c r="E278"/>
      <c r="F278"/>
      <c r="G278"/>
      <c r="H278"/>
      <c r="I278"/>
      <c r="J278"/>
      <c r="K278"/>
      <c r="L278"/>
      <c r="M278"/>
      <c r="N278"/>
      <c r="O278"/>
      <c r="P278"/>
      <c r="Q278" s="53"/>
      <c r="R278" s="53"/>
    </row>
    <row r="279" spans="5:18" ht="15.75">
      <c r="E279"/>
      <c r="F279"/>
      <c r="G279"/>
      <c r="H279"/>
      <c r="I279"/>
      <c r="J279"/>
      <c r="K279"/>
      <c r="L279"/>
      <c r="M279"/>
      <c r="N279"/>
      <c r="O279"/>
      <c r="P279"/>
      <c r="Q279" s="53"/>
      <c r="R279" s="53"/>
    </row>
    <row r="280" spans="5:18" ht="15.75">
      <c r="E280"/>
      <c r="F280"/>
      <c r="G280"/>
      <c r="H280"/>
      <c r="I280"/>
      <c r="J280"/>
      <c r="K280"/>
      <c r="L280"/>
      <c r="M280"/>
      <c r="N280"/>
      <c r="O280"/>
      <c r="P280"/>
      <c r="Q280" s="53"/>
      <c r="R280" s="53"/>
    </row>
    <row r="281" spans="5:18" ht="15.75">
      <c r="E281"/>
      <c r="F281"/>
      <c r="G281"/>
      <c r="H281"/>
      <c r="I281"/>
      <c r="J281"/>
      <c r="K281"/>
      <c r="L281"/>
      <c r="M281"/>
      <c r="N281"/>
      <c r="O281"/>
      <c r="P281"/>
      <c r="Q281" s="53"/>
      <c r="R281" s="53"/>
    </row>
    <row r="282" spans="5:18" ht="15.75">
      <c r="E282"/>
      <c r="F282"/>
      <c r="G282"/>
      <c r="H282"/>
      <c r="I282"/>
      <c r="J282"/>
      <c r="K282"/>
      <c r="L282"/>
      <c r="M282"/>
      <c r="N282"/>
      <c r="O282"/>
      <c r="P282"/>
      <c r="Q282" s="53"/>
      <c r="R282" s="53"/>
    </row>
    <row r="283" spans="5:18" ht="15.75">
      <c r="E283"/>
      <c r="F283"/>
      <c r="G283"/>
      <c r="H283"/>
      <c r="I283"/>
      <c r="J283"/>
      <c r="K283"/>
      <c r="L283"/>
      <c r="M283"/>
      <c r="N283"/>
      <c r="O283"/>
      <c r="P283"/>
      <c r="Q283" s="53"/>
      <c r="R283" s="53"/>
    </row>
    <row r="284" spans="5:18" ht="15.75">
      <c r="E284"/>
      <c r="F284"/>
      <c r="G284"/>
      <c r="H284"/>
      <c r="I284"/>
      <c r="J284"/>
      <c r="K284"/>
      <c r="L284"/>
      <c r="M284"/>
      <c r="N284"/>
      <c r="O284"/>
      <c r="P284"/>
      <c r="Q284" s="53"/>
      <c r="R284" s="53"/>
    </row>
    <row r="285" spans="5:18" ht="15.75">
      <c r="E285"/>
      <c r="F285"/>
      <c r="G285"/>
      <c r="H285"/>
      <c r="I285"/>
      <c r="J285"/>
      <c r="K285"/>
      <c r="L285"/>
      <c r="M285"/>
      <c r="N285"/>
      <c r="O285"/>
      <c r="P285"/>
      <c r="Q285" s="53"/>
      <c r="R285" s="53"/>
    </row>
    <row r="286" spans="5:18" ht="15.75">
      <c r="E286"/>
      <c r="F286"/>
      <c r="G286"/>
      <c r="H286"/>
      <c r="I286"/>
      <c r="J286"/>
      <c r="K286"/>
      <c r="L286"/>
      <c r="M286"/>
      <c r="N286"/>
      <c r="O286"/>
      <c r="P286"/>
      <c r="Q286" s="53"/>
      <c r="R286" s="53"/>
    </row>
    <row r="287" spans="5:18" ht="15.75">
      <c r="E287"/>
      <c r="F287"/>
      <c r="G287"/>
      <c r="H287"/>
      <c r="I287"/>
      <c r="J287"/>
      <c r="K287"/>
      <c r="L287"/>
      <c r="M287"/>
      <c r="N287"/>
      <c r="O287"/>
      <c r="P287"/>
      <c r="Q287" s="53"/>
      <c r="R287" s="53"/>
    </row>
    <row r="288" spans="5:18" ht="15.75">
      <c r="E288"/>
      <c r="F288"/>
      <c r="G288"/>
      <c r="H288"/>
      <c r="I288"/>
      <c r="J288"/>
      <c r="K288"/>
      <c r="L288"/>
      <c r="M288"/>
      <c r="N288"/>
      <c r="O288"/>
      <c r="P288"/>
      <c r="Q288" s="53"/>
      <c r="R288" s="53"/>
    </row>
    <row r="289" spans="5:18" ht="15.75">
      <c r="E289"/>
      <c r="F289"/>
      <c r="G289"/>
      <c r="H289"/>
      <c r="I289"/>
      <c r="J289"/>
      <c r="K289"/>
      <c r="L289"/>
      <c r="M289"/>
      <c r="N289"/>
      <c r="O289"/>
      <c r="P289"/>
      <c r="Q289" s="53"/>
      <c r="R289" s="53"/>
    </row>
    <row r="290" spans="5:18" ht="15.75">
      <c r="E290"/>
      <c r="F290"/>
      <c r="G290"/>
      <c r="H290"/>
      <c r="I290"/>
      <c r="J290"/>
      <c r="K290"/>
      <c r="L290"/>
      <c r="M290"/>
      <c r="N290"/>
      <c r="O290"/>
      <c r="P290"/>
      <c r="Q290" s="53"/>
      <c r="R290" s="53"/>
    </row>
    <row r="291" spans="5:18" ht="15.75">
      <c r="E291"/>
      <c r="F291"/>
      <c r="G291"/>
      <c r="H291"/>
      <c r="I291"/>
      <c r="J291"/>
      <c r="K291"/>
      <c r="L291"/>
      <c r="M291"/>
      <c r="N291"/>
      <c r="O291"/>
      <c r="P291"/>
      <c r="Q291" s="53"/>
      <c r="R291" s="53"/>
    </row>
    <row r="292" spans="5:18" ht="15.75">
      <c r="E292"/>
      <c r="F292"/>
      <c r="G292"/>
      <c r="H292"/>
      <c r="I292"/>
      <c r="J292"/>
      <c r="K292"/>
      <c r="L292"/>
      <c r="M292"/>
      <c r="N292"/>
      <c r="O292"/>
      <c r="P292"/>
      <c r="Q292" s="53"/>
      <c r="R292" s="53"/>
    </row>
    <row r="293" spans="5:18" ht="15.75">
      <c r="E293"/>
      <c r="F293"/>
      <c r="G293"/>
      <c r="H293"/>
      <c r="I293"/>
      <c r="J293"/>
      <c r="K293"/>
      <c r="L293"/>
      <c r="M293"/>
      <c r="N293"/>
      <c r="O293"/>
      <c r="P293"/>
      <c r="Q293" s="53"/>
      <c r="R293" s="53"/>
    </row>
    <row r="294" spans="5:18" ht="15.75">
      <c r="E294"/>
      <c r="F294"/>
      <c r="G294"/>
      <c r="H294"/>
      <c r="I294"/>
      <c r="J294"/>
      <c r="K294"/>
      <c r="L294"/>
      <c r="M294"/>
      <c r="N294"/>
      <c r="O294"/>
      <c r="P294"/>
      <c r="Q294" s="53"/>
      <c r="R294" s="53"/>
    </row>
    <row r="295" spans="5:18" ht="15.75">
      <c r="E295"/>
      <c r="F295"/>
      <c r="G295"/>
      <c r="H295"/>
      <c r="I295"/>
      <c r="J295"/>
      <c r="K295"/>
      <c r="L295"/>
      <c r="M295"/>
      <c r="N295"/>
      <c r="O295"/>
      <c r="P295"/>
      <c r="Q295" s="53"/>
      <c r="R295" s="53"/>
    </row>
    <row r="296" spans="5:18" ht="15.75">
      <c r="E296"/>
      <c r="F296"/>
      <c r="G296"/>
      <c r="H296"/>
      <c r="I296"/>
      <c r="J296"/>
      <c r="K296"/>
      <c r="L296"/>
      <c r="M296"/>
      <c r="N296"/>
      <c r="O296"/>
      <c r="P296"/>
      <c r="Q296" s="53"/>
      <c r="R296" s="53"/>
    </row>
    <row r="297" spans="5:18" ht="15.75">
      <c r="E297"/>
      <c r="F297"/>
      <c r="G297"/>
      <c r="H297"/>
      <c r="I297"/>
      <c r="J297"/>
      <c r="K297"/>
      <c r="L297"/>
      <c r="M297"/>
      <c r="N297"/>
      <c r="O297"/>
      <c r="P297"/>
      <c r="Q297" s="53"/>
      <c r="R297" s="53"/>
    </row>
    <row r="298" spans="5:18" ht="15.75">
      <c r="E298"/>
      <c r="F298"/>
      <c r="G298"/>
      <c r="H298"/>
      <c r="I298"/>
      <c r="J298"/>
      <c r="K298"/>
      <c r="L298"/>
      <c r="M298"/>
      <c r="N298"/>
      <c r="O298"/>
      <c r="P298"/>
      <c r="Q298" s="53"/>
      <c r="R298" s="53"/>
    </row>
    <row r="299" spans="5:18" ht="15.75">
      <c r="E299"/>
      <c r="F299"/>
      <c r="G299"/>
      <c r="H299"/>
      <c r="I299"/>
      <c r="J299"/>
      <c r="K299"/>
      <c r="L299"/>
      <c r="M299"/>
      <c r="N299"/>
      <c r="O299"/>
      <c r="P299"/>
      <c r="Q299" s="53"/>
      <c r="R299" s="53"/>
    </row>
    <row r="300" spans="5:18" ht="15.75">
      <c r="E300"/>
      <c r="F300"/>
      <c r="G300"/>
      <c r="H300"/>
      <c r="I300"/>
      <c r="J300"/>
      <c r="K300"/>
      <c r="L300"/>
      <c r="M300"/>
      <c r="N300"/>
      <c r="O300"/>
      <c r="P300"/>
      <c r="Q300" s="53"/>
      <c r="R300" s="53"/>
    </row>
    <row r="301" spans="5:18" ht="15.75">
      <c r="E301"/>
      <c r="F301"/>
      <c r="G301"/>
      <c r="H301"/>
      <c r="I301"/>
      <c r="J301"/>
      <c r="K301"/>
      <c r="L301"/>
      <c r="M301"/>
      <c r="N301"/>
      <c r="O301"/>
      <c r="P301"/>
      <c r="Q301" s="53"/>
      <c r="R301" s="53"/>
    </row>
    <row r="302" spans="5:18" ht="15.75">
      <c r="E302"/>
      <c r="F302"/>
      <c r="G302"/>
      <c r="H302"/>
      <c r="I302"/>
      <c r="J302"/>
      <c r="K302"/>
      <c r="L302"/>
      <c r="M302"/>
      <c r="N302"/>
      <c r="O302"/>
      <c r="P302"/>
      <c r="Q302" s="53"/>
      <c r="R302" s="53"/>
    </row>
    <row r="303" spans="5:18" ht="15.75">
      <c r="E303"/>
      <c r="F303"/>
      <c r="G303"/>
      <c r="H303"/>
      <c r="I303"/>
      <c r="J303"/>
      <c r="K303"/>
      <c r="L303"/>
      <c r="M303"/>
      <c r="N303"/>
      <c r="O303"/>
      <c r="P303"/>
      <c r="Q303" s="53"/>
      <c r="R303" s="53"/>
    </row>
    <row r="304" spans="5:18" ht="15.75">
      <c r="E304"/>
      <c r="F304"/>
      <c r="G304"/>
      <c r="H304"/>
      <c r="I304"/>
      <c r="J304"/>
      <c r="K304"/>
      <c r="L304"/>
      <c r="M304"/>
      <c r="N304"/>
      <c r="O304"/>
      <c r="P304"/>
      <c r="Q304" s="53"/>
      <c r="R304" s="53"/>
    </row>
    <row r="305" spans="5:18" ht="15.75">
      <c r="E305"/>
      <c r="F305"/>
      <c r="G305"/>
      <c r="H305"/>
      <c r="I305"/>
      <c r="J305"/>
      <c r="K305"/>
      <c r="L305"/>
      <c r="M305"/>
      <c r="N305"/>
      <c r="O305"/>
      <c r="P305"/>
      <c r="Q305" s="53"/>
      <c r="R305" s="53"/>
    </row>
    <row r="306" spans="5:18" ht="15.75">
      <c r="E306"/>
      <c r="F306"/>
      <c r="G306"/>
      <c r="H306"/>
      <c r="I306"/>
      <c r="J306"/>
      <c r="K306"/>
      <c r="L306"/>
      <c r="M306"/>
      <c r="N306"/>
      <c r="O306"/>
      <c r="P306"/>
      <c r="Q306" s="53"/>
      <c r="R306" s="53"/>
    </row>
    <row r="307" spans="5:18" ht="15.75">
      <c r="E307"/>
      <c r="F307"/>
      <c r="G307"/>
      <c r="H307"/>
      <c r="I307"/>
      <c r="J307"/>
      <c r="K307"/>
      <c r="L307"/>
      <c r="M307"/>
      <c r="N307"/>
      <c r="O307"/>
      <c r="P307"/>
      <c r="Q307" s="53"/>
      <c r="R307" s="53"/>
    </row>
    <row r="308" spans="5:18" ht="15.75">
      <c r="E308"/>
      <c r="F308"/>
      <c r="G308"/>
      <c r="H308"/>
      <c r="I308"/>
      <c r="J308"/>
      <c r="K308"/>
      <c r="L308"/>
      <c r="M308"/>
      <c r="N308"/>
      <c r="O308"/>
      <c r="P308"/>
      <c r="Q308" s="53"/>
      <c r="R308" s="53"/>
    </row>
    <row r="309" spans="5:18" ht="15.75">
      <c r="E309"/>
      <c r="F309"/>
      <c r="G309"/>
      <c r="H309"/>
      <c r="I309"/>
      <c r="J309"/>
      <c r="K309"/>
      <c r="L309"/>
      <c r="M309"/>
      <c r="N309"/>
      <c r="O309"/>
      <c r="P309"/>
      <c r="Q309" s="53"/>
      <c r="R309" s="53"/>
    </row>
    <row r="310" spans="5:18" ht="15.75">
      <c r="E310"/>
      <c r="F310"/>
      <c r="G310"/>
      <c r="H310"/>
      <c r="I310"/>
      <c r="J310"/>
      <c r="K310"/>
      <c r="L310"/>
      <c r="M310"/>
      <c r="N310"/>
      <c r="O310"/>
      <c r="P310"/>
      <c r="Q310" s="53"/>
      <c r="R310" s="53"/>
    </row>
    <row r="311" spans="5:18" ht="15.75">
      <c r="E311"/>
      <c r="F311"/>
      <c r="G311"/>
      <c r="H311"/>
      <c r="I311"/>
      <c r="J311"/>
      <c r="K311"/>
      <c r="L311"/>
      <c r="M311"/>
      <c r="N311"/>
      <c r="O311"/>
      <c r="P311"/>
      <c r="Q311" s="53"/>
      <c r="R311" s="53"/>
    </row>
    <row r="312" spans="5:18" ht="15.75">
      <c r="E312"/>
      <c r="F312"/>
      <c r="G312"/>
      <c r="H312"/>
      <c r="I312"/>
      <c r="J312"/>
      <c r="K312"/>
      <c r="L312"/>
      <c r="M312"/>
      <c r="N312"/>
      <c r="O312"/>
      <c r="P312"/>
      <c r="Q312" s="53"/>
      <c r="R312" s="53"/>
    </row>
    <row r="313" spans="5:18" ht="15.75">
      <c r="E313"/>
      <c r="F313"/>
      <c r="G313"/>
      <c r="H313"/>
      <c r="I313"/>
      <c r="J313"/>
      <c r="K313"/>
      <c r="L313"/>
      <c r="M313"/>
      <c r="N313"/>
      <c r="O313"/>
      <c r="P313"/>
      <c r="Q313" s="53"/>
      <c r="R313" s="53"/>
    </row>
    <row r="314" spans="5:18" ht="15.75">
      <c r="E314"/>
      <c r="F314"/>
      <c r="G314"/>
      <c r="H314"/>
      <c r="I314"/>
      <c r="J314"/>
      <c r="K314"/>
      <c r="L314"/>
      <c r="M314"/>
      <c r="N314"/>
      <c r="O314"/>
      <c r="P314"/>
      <c r="Q314" s="53"/>
      <c r="R314" s="53"/>
    </row>
    <row r="315" spans="5:18" ht="15.75">
      <c r="E315"/>
      <c r="F315"/>
      <c r="G315"/>
      <c r="H315"/>
      <c r="I315"/>
      <c r="J315"/>
      <c r="K315"/>
      <c r="L315"/>
      <c r="M315"/>
      <c r="N315"/>
      <c r="O315"/>
      <c r="P315"/>
      <c r="Q315" s="53"/>
      <c r="R315" s="53"/>
    </row>
    <row r="316" spans="5:18" ht="15.75">
      <c r="E316"/>
      <c r="F316"/>
      <c r="G316"/>
      <c r="H316"/>
      <c r="I316"/>
      <c r="J316"/>
      <c r="K316"/>
      <c r="L316"/>
      <c r="M316"/>
      <c r="N316"/>
      <c r="O316"/>
      <c r="P316"/>
      <c r="Q316" s="53"/>
      <c r="R316" s="53"/>
    </row>
    <row r="317" spans="5:18" ht="15.75">
      <c r="E317"/>
      <c r="F317"/>
      <c r="G317"/>
      <c r="H317"/>
      <c r="I317"/>
      <c r="J317"/>
      <c r="K317"/>
      <c r="L317"/>
      <c r="M317"/>
      <c r="N317"/>
      <c r="O317"/>
      <c r="P317"/>
      <c r="Q317" s="53"/>
      <c r="R317" s="53"/>
    </row>
    <row r="318" spans="5:18" ht="15.75">
      <c r="E318"/>
      <c r="F318"/>
      <c r="G318"/>
      <c r="H318"/>
      <c r="I318"/>
      <c r="J318"/>
      <c r="K318"/>
      <c r="L318"/>
      <c r="M318"/>
      <c r="N318"/>
      <c r="O318"/>
      <c r="P318"/>
      <c r="Q318" s="53"/>
      <c r="R318" s="53"/>
    </row>
  </sheetData>
  <sheetProtection/>
  <mergeCells count="28">
    <mergeCell ref="G11:H11"/>
    <mergeCell ref="K8:M10"/>
    <mergeCell ref="A14:B14"/>
    <mergeCell ref="D11:E11"/>
    <mergeCell ref="N10:N12"/>
    <mergeCell ref="O10:Q10"/>
    <mergeCell ref="O11:P11"/>
    <mergeCell ref="Q11:Q12"/>
    <mergeCell ref="A37:B37"/>
    <mergeCell ref="F8:I9"/>
    <mergeCell ref="F10:F12"/>
    <mergeCell ref="L11:M11"/>
    <mergeCell ref="C8:E10"/>
    <mergeCell ref="I11:I12"/>
    <mergeCell ref="A15:B15"/>
    <mergeCell ref="C11:C12"/>
    <mergeCell ref="A13:B13"/>
    <mergeCell ref="A7:B12"/>
    <mergeCell ref="A2:R2"/>
    <mergeCell ref="A3:R3"/>
    <mergeCell ref="A4:R4"/>
    <mergeCell ref="N8:Q9"/>
    <mergeCell ref="J8:J12"/>
    <mergeCell ref="K7:R7"/>
    <mergeCell ref="K11:K12"/>
    <mergeCell ref="C7:J7"/>
    <mergeCell ref="G10:I10"/>
    <mergeCell ref="R8:R12"/>
  </mergeCells>
  <printOptions/>
  <pageMargins left="0.25" right="0.25" top="0.75" bottom="0.5"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AX318"/>
  <sheetViews>
    <sheetView tabSelected="1" zoomScalePageLayoutView="0" workbookViewId="0" topLeftCell="A4">
      <pane ySplit="4350" topLeftCell="A163" activePane="bottomLeft" state="split"/>
      <selection pane="topLeft" activeCell="G8" sqref="G8:H10"/>
      <selection pane="bottomLeft" activeCell="H99" sqref="H99"/>
    </sheetView>
  </sheetViews>
  <sheetFormatPr defaultColWidth="9.140625" defaultRowHeight="12.75"/>
  <cols>
    <col min="1" max="1" width="3.28125" style="3" customWidth="1"/>
    <col min="2" max="2" width="34.421875" style="1" customWidth="1"/>
    <col min="3" max="3" width="8.57421875" style="2" customWidth="1"/>
    <col min="4" max="4" width="10.00390625" style="3" customWidth="1"/>
    <col min="5" max="5" width="8.8515625" style="3" customWidth="1"/>
    <col min="6" max="6" width="8.8515625" style="2" customWidth="1"/>
    <col min="7" max="7" width="12.8515625" style="6" customWidth="1"/>
    <col min="8" max="8" width="10.00390625" style="6" customWidth="1"/>
    <col min="9" max="16384" width="9.140625" style="6" customWidth="1"/>
  </cols>
  <sheetData>
    <row r="1" spans="1:6" ht="19.5" customHeight="1">
      <c r="A1" s="66" t="s">
        <v>7</v>
      </c>
      <c r="B1" s="66"/>
      <c r="C1"/>
      <c r="D1"/>
      <c r="E1"/>
      <c r="F1"/>
    </row>
    <row r="2" spans="1:50" s="22" customFormat="1" ht="18.75">
      <c r="A2" s="401" t="s">
        <v>159</v>
      </c>
      <c r="B2" s="401"/>
      <c r="C2" s="401"/>
      <c r="D2" s="401"/>
      <c r="E2" s="401"/>
      <c r="F2" s="401"/>
      <c r="G2" s="401"/>
      <c r="H2" s="401"/>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row>
    <row r="3" spans="1:50" s="22" customFormat="1" ht="41.25" customHeight="1">
      <c r="A3" s="409" t="s">
        <v>156</v>
      </c>
      <c r="B3" s="409"/>
      <c r="C3" s="409"/>
      <c r="D3" s="409"/>
      <c r="E3" s="409"/>
      <c r="F3" s="409"/>
      <c r="G3" s="409"/>
      <c r="H3" s="409"/>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row>
    <row r="4" spans="1:50" s="22" customFormat="1" ht="21.75" customHeight="1">
      <c r="A4" s="401" t="s">
        <v>297</v>
      </c>
      <c r="B4" s="402"/>
      <c r="C4" s="402"/>
      <c r="D4" s="402"/>
      <c r="E4" s="402"/>
      <c r="F4" s="402"/>
      <c r="G4" s="402"/>
      <c r="H4" s="402"/>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row>
    <row r="5" spans="1:6" ht="15.75">
      <c r="A5" s="23"/>
      <c r="B5" s="51"/>
      <c r="C5"/>
      <c r="D5"/>
      <c r="E5"/>
      <c r="F5"/>
    </row>
    <row r="6" spans="1:8" ht="15.75" customHeight="1">
      <c r="A6" s="4"/>
      <c r="B6" s="52"/>
      <c r="C6"/>
      <c r="D6"/>
      <c r="F6"/>
      <c r="G6" s="56" t="s">
        <v>45</v>
      </c>
      <c r="H6" s="7"/>
    </row>
    <row r="7" spans="1:8" ht="40.5" customHeight="1">
      <c r="A7" s="388"/>
      <c r="B7" s="389"/>
      <c r="C7" s="427" t="s">
        <v>141</v>
      </c>
      <c r="D7" s="427"/>
      <c r="E7" s="427"/>
      <c r="F7" s="429" t="s">
        <v>136</v>
      </c>
      <c r="G7" s="430"/>
      <c r="H7" s="431"/>
    </row>
    <row r="8" spans="1:8" ht="12.75" customHeight="1">
      <c r="A8" s="390"/>
      <c r="B8" s="391"/>
      <c r="C8" s="426" t="s">
        <v>9</v>
      </c>
      <c r="D8" s="426" t="s">
        <v>44</v>
      </c>
      <c r="E8" s="426"/>
      <c r="F8" s="426" t="s">
        <v>9</v>
      </c>
      <c r="G8" s="399" t="s">
        <v>44</v>
      </c>
      <c r="H8" s="399"/>
    </row>
    <row r="9" spans="1:8" ht="12.75" customHeight="1">
      <c r="A9" s="390"/>
      <c r="B9" s="391"/>
      <c r="C9" s="426"/>
      <c r="D9" s="426"/>
      <c r="E9" s="426"/>
      <c r="F9" s="426"/>
      <c r="G9" s="399"/>
      <c r="H9" s="399"/>
    </row>
    <row r="10" spans="1:8" ht="12.75" customHeight="1">
      <c r="A10" s="390"/>
      <c r="B10" s="391"/>
      <c r="C10" s="426"/>
      <c r="D10" s="426"/>
      <c r="E10" s="426"/>
      <c r="F10" s="426"/>
      <c r="G10" s="399"/>
      <c r="H10" s="399"/>
    </row>
    <row r="11" spans="1:8" ht="31.5" customHeight="1">
      <c r="A11" s="390"/>
      <c r="B11" s="391"/>
      <c r="C11" s="426"/>
      <c r="D11" s="426" t="s">
        <v>137</v>
      </c>
      <c r="E11" s="426" t="s">
        <v>138</v>
      </c>
      <c r="F11" s="426"/>
      <c r="G11" s="399" t="s">
        <v>139</v>
      </c>
      <c r="H11" s="428" t="s">
        <v>140</v>
      </c>
    </row>
    <row r="12" spans="1:8" ht="12.75">
      <c r="A12" s="392"/>
      <c r="B12" s="393"/>
      <c r="C12" s="426"/>
      <c r="D12" s="426"/>
      <c r="E12" s="426"/>
      <c r="F12" s="426"/>
      <c r="G12" s="399"/>
      <c r="H12" s="428"/>
    </row>
    <row r="13" spans="1:8" ht="12.75">
      <c r="A13" s="399" t="s">
        <v>40</v>
      </c>
      <c r="B13" s="399"/>
      <c r="C13" s="59">
        <v>1</v>
      </c>
      <c r="D13" s="59">
        <v>2</v>
      </c>
      <c r="E13" s="59">
        <v>3</v>
      </c>
      <c r="F13" s="59">
        <v>4</v>
      </c>
      <c r="G13" s="59">
        <v>5</v>
      </c>
      <c r="H13" s="59">
        <v>6</v>
      </c>
    </row>
    <row r="14" spans="1:8" ht="15.75">
      <c r="A14" s="425" t="s">
        <v>97</v>
      </c>
      <c r="B14" s="425"/>
      <c r="C14" s="154">
        <f aca="true" t="shared" si="0" ref="C14:H14">C15+C36</f>
        <v>85140</v>
      </c>
      <c r="D14" s="154">
        <f t="shared" si="0"/>
        <v>61029</v>
      </c>
      <c r="E14" s="154">
        <f t="shared" si="0"/>
        <v>24111</v>
      </c>
      <c r="F14" s="154">
        <f t="shared" si="0"/>
        <v>5682</v>
      </c>
      <c r="G14" s="154">
        <f t="shared" si="0"/>
        <v>4593</v>
      </c>
      <c r="H14" s="154">
        <f t="shared" si="0"/>
        <v>1089</v>
      </c>
    </row>
    <row r="15" spans="1:8" ht="15.75">
      <c r="A15" s="383" t="s">
        <v>87</v>
      </c>
      <c r="B15" s="384"/>
      <c r="C15" s="155">
        <f aca="true" t="shared" si="1" ref="C15:H15">SUM(C16:C35)</f>
        <v>3868</v>
      </c>
      <c r="D15" s="155">
        <f t="shared" si="1"/>
        <v>3225</v>
      </c>
      <c r="E15" s="155">
        <f t="shared" si="1"/>
        <v>643</v>
      </c>
      <c r="F15" s="155">
        <f t="shared" si="1"/>
        <v>66</v>
      </c>
      <c r="G15" s="155">
        <f t="shared" si="1"/>
        <v>45</v>
      </c>
      <c r="H15" s="155">
        <f t="shared" si="1"/>
        <v>21</v>
      </c>
    </row>
    <row r="16" spans="1:8" ht="15.75">
      <c r="A16" s="135">
        <v>1</v>
      </c>
      <c r="B16" s="229" t="s">
        <v>229</v>
      </c>
      <c r="C16" s="221">
        <f>D16+E16</f>
        <v>72</v>
      </c>
      <c r="D16" s="88">
        <v>60</v>
      </c>
      <c r="E16" s="88">
        <v>12</v>
      </c>
      <c r="F16" s="221">
        <f>G16+H16</f>
        <v>12</v>
      </c>
      <c r="G16" s="254">
        <v>12</v>
      </c>
      <c r="H16" s="379">
        <v>0</v>
      </c>
    </row>
    <row r="17" spans="1:8" ht="15.75">
      <c r="A17" s="135">
        <v>2</v>
      </c>
      <c r="B17" s="92" t="s">
        <v>193</v>
      </c>
      <c r="C17" s="221"/>
      <c r="D17" s="88"/>
      <c r="E17" s="88"/>
      <c r="F17" s="221"/>
      <c r="G17" s="88"/>
      <c r="H17" s="88"/>
    </row>
    <row r="18" spans="1:8" ht="15.75">
      <c r="A18" s="135">
        <v>3</v>
      </c>
      <c r="B18" s="92" t="s">
        <v>194</v>
      </c>
      <c r="C18" s="221"/>
      <c r="D18" s="88"/>
      <c r="E18" s="88"/>
      <c r="F18" s="221"/>
      <c r="G18" s="88"/>
      <c r="H18" s="88"/>
    </row>
    <row r="19" spans="1:8" ht="15.75">
      <c r="A19" s="135">
        <v>4</v>
      </c>
      <c r="B19" s="92" t="s">
        <v>195</v>
      </c>
      <c r="C19" s="221">
        <f>D19+E19</f>
        <v>82</v>
      </c>
      <c r="D19" s="88">
        <v>82</v>
      </c>
      <c r="E19" s="346">
        <v>0</v>
      </c>
      <c r="F19" s="372">
        <f>G19+H19</f>
        <v>0</v>
      </c>
      <c r="G19" s="346">
        <v>0</v>
      </c>
      <c r="H19" s="346">
        <v>0</v>
      </c>
    </row>
    <row r="20" spans="1:8" ht="15.75">
      <c r="A20" s="135">
        <v>5</v>
      </c>
      <c r="B20" s="92" t="s">
        <v>196</v>
      </c>
      <c r="C20" s="221"/>
      <c r="D20" s="88"/>
      <c r="E20" s="88"/>
      <c r="F20" s="221"/>
      <c r="G20" s="88"/>
      <c r="H20" s="88"/>
    </row>
    <row r="21" spans="1:8" ht="15.75">
      <c r="A21" s="135">
        <v>6</v>
      </c>
      <c r="B21" s="92" t="s">
        <v>197</v>
      </c>
      <c r="C21" s="221"/>
      <c r="D21" s="88"/>
      <c r="E21" s="88"/>
      <c r="F21" s="221"/>
      <c r="G21" s="88"/>
      <c r="H21" s="88"/>
    </row>
    <row r="22" spans="1:8" ht="15.75">
      <c r="A22" s="135">
        <v>7</v>
      </c>
      <c r="B22" s="92" t="s">
        <v>198</v>
      </c>
      <c r="C22" s="221"/>
      <c r="D22" s="88"/>
      <c r="E22" s="88"/>
      <c r="F22" s="221"/>
      <c r="G22" s="88"/>
      <c r="H22" s="88"/>
    </row>
    <row r="23" spans="1:8" ht="15.75">
      <c r="A23" s="135">
        <v>8</v>
      </c>
      <c r="B23" s="92" t="s">
        <v>199</v>
      </c>
      <c r="C23" s="221"/>
      <c r="D23" s="88"/>
      <c r="E23" s="88"/>
      <c r="F23" s="221"/>
      <c r="G23" s="88"/>
      <c r="H23" s="88"/>
    </row>
    <row r="24" spans="1:8" ht="15.75">
      <c r="A24" s="135">
        <v>9</v>
      </c>
      <c r="B24" s="92" t="s">
        <v>200</v>
      </c>
      <c r="C24" s="221"/>
      <c r="D24" s="88"/>
      <c r="E24" s="88"/>
      <c r="F24" s="221"/>
      <c r="G24" s="88"/>
      <c r="H24" s="88"/>
    </row>
    <row r="25" spans="1:8" ht="31.5">
      <c r="A25" s="135">
        <v>10</v>
      </c>
      <c r="B25" s="92" t="s">
        <v>201</v>
      </c>
      <c r="C25" s="221"/>
      <c r="D25" s="88"/>
      <c r="E25" s="88"/>
      <c r="F25" s="221"/>
      <c r="G25" s="88"/>
      <c r="H25" s="88"/>
    </row>
    <row r="26" spans="1:9" ht="15.75">
      <c r="A26" s="135">
        <v>11</v>
      </c>
      <c r="B26" s="230" t="s">
        <v>231</v>
      </c>
      <c r="C26" s="221">
        <f>D26+E26</f>
        <v>2543</v>
      </c>
      <c r="D26" s="88">
        <v>2324</v>
      </c>
      <c r="E26" s="88">
        <f>166+53</f>
        <v>219</v>
      </c>
      <c r="F26" s="221">
        <f>G26+H26</f>
        <v>40</v>
      </c>
      <c r="G26" s="255">
        <v>20</v>
      </c>
      <c r="H26" s="256">
        <v>20</v>
      </c>
      <c r="I26" s="6" t="s">
        <v>299</v>
      </c>
    </row>
    <row r="27" spans="1:8" ht="15.75">
      <c r="A27" s="135">
        <v>12</v>
      </c>
      <c r="B27" s="92" t="s">
        <v>185</v>
      </c>
      <c r="C27" s="221">
        <f>D27+E27</f>
        <v>365</v>
      </c>
      <c r="D27" s="88">
        <v>305</v>
      </c>
      <c r="E27" s="88">
        <v>60</v>
      </c>
      <c r="F27" s="372">
        <f>G27+H27</f>
        <v>0</v>
      </c>
      <c r="G27" s="346">
        <v>0</v>
      </c>
      <c r="H27" s="346">
        <v>0</v>
      </c>
    </row>
    <row r="28" spans="1:8" ht="15.75">
      <c r="A28" s="135">
        <v>13</v>
      </c>
      <c r="B28" s="92" t="s">
        <v>186</v>
      </c>
      <c r="C28" s="221"/>
      <c r="D28" s="88"/>
      <c r="E28" s="88"/>
      <c r="F28" s="221"/>
      <c r="G28" s="88"/>
      <c r="H28" s="88"/>
    </row>
    <row r="29" spans="1:8" ht="15.75">
      <c r="A29" s="135">
        <v>14</v>
      </c>
      <c r="B29" s="92" t="s">
        <v>187</v>
      </c>
      <c r="C29" s="221"/>
      <c r="D29" s="88"/>
      <c r="E29" s="88"/>
      <c r="F29" s="221"/>
      <c r="G29" s="88"/>
      <c r="H29" s="88"/>
    </row>
    <row r="30" spans="1:8" ht="15.75">
      <c r="A30" s="135">
        <v>15</v>
      </c>
      <c r="B30" s="92" t="s">
        <v>188</v>
      </c>
      <c r="C30" s="221">
        <f>D30+E30</f>
        <v>806</v>
      </c>
      <c r="D30" s="88">
        <v>454</v>
      </c>
      <c r="E30" s="88">
        <v>352</v>
      </c>
      <c r="F30" s="221">
        <f>G30+H30</f>
        <v>14</v>
      </c>
      <c r="G30" s="88">
        <v>13</v>
      </c>
      <c r="H30" s="88">
        <v>1</v>
      </c>
    </row>
    <row r="31" spans="1:8" ht="15.75">
      <c r="A31" s="135">
        <v>16</v>
      </c>
      <c r="B31" s="92" t="s">
        <v>189</v>
      </c>
      <c r="C31" s="221"/>
      <c r="D31" s="88"/>
      <c r="E31" s="88"/>
      <c r="F31" s="221"/>
      <c r="G31" s="88"/>
      <c r="H31" s="88"/>
    </row>
    <row r="32" spans="1:8" ht="15.75">
      <c r="A32" s="135">
        <v>17</v>
      </c>
      <c r="B32" s="229" t="s">
        <v>228</v>
      </c>
      <c r="C32" s="221"/>
      <c r="D32" s="88"/>
      <c r="E32" s="257"/>
      <c r="F32" s="221"/>
      <c r="G32" s="258"/>
      <c r="H32" s="258"/>
    </row>
    <row r="33" spans="1:8" ht="15.75">
      <c r="A33" s="135">
        <v>18</v>
      </c>
      <c r="B33" s="231" t="s">
        <v>190</v>
      </c>
      <c r="C33" s="221"/>
      <c r="D33" s="259"/>
      <c r="E33" s="259"/>
      <c r="F33" s="221"/>
      <c r="G33" s="88"/>
      <c r="H33" s="88"/>
    </row>
    <row r="34" spans="1:8" ht="15.75">
      <c r="A34" s="135">
        <v>19</v>
      </c>
      <c r="B34" s="231" t="s">
        <v>191</v>
      </c>
      <c r="C34" s="221"/>
      <c r="D34" s="88"/>
      <c r="E34" s="88"/>
      <c r="F34" s="221"/>
      <c r="G34" s="260"/>
      <c r="H34" s="261"/>
    </row>
    <row r="35" spans="1:8" ht="15.75">
      <c r="A35" s="135">
        <v>20</v>
      </c>
      <c r="B35" s="232" t="s">
        <v>192</v>
      </c>
      <c r="C35" s="221"/>
      <c r="D35" s="88"/>
      <c r="E35" s="88"/>
      <c r="F35" s="221"/>
      <c r="G35" s="260"/>
      <c r="H35" s="261"/>
    </row>
    <row r="36" spans="1:8" s="10" customFormat="1" ht="15.75">
      <c r="A36" s="383" t="s">
        <v>98</v>
      </c>
      <c r="B36" s="384"/>
      <c r="C36" s="155">
        <f aca="true" t="shared" si="2" ref="C36:H36">SUM(C37:C99)</f>
        <v>81272</v>
      </c>
      <c r="D36" s="155">
        <f t="shared" si="2"/>
        <v>57804</v>
      </c>
      <c r="E36" s="155">
        <f t="shared" si="2"/>
        <v>23468</v>
      </c>
      <c r="F36" s="155">
        <f t="shared" si="2"/>
        <v>5616</v>
      </c>
      <c r="G36" s="155">
        <f t="shared" si="2"/>
        <v>4548</v>
      </c>
      <c r="H36" s="155">
        <f t="shared" si="2"/>
        <v>1068</v>
      </c>
    </row>
    <row r="37" spans="1:8" ht="15.75">
      <c r="A37" s="118">
        <v>1</v>
      </c>
      <c r="B37" s="119" t="s">
        <v>168</v>
      </c>
      <c r="C37" s="184">
        <f>D37+E37</f>
        <v>2204</v>
      </c>
      <c r="D37" s="185">
        <v>1533</v>
      </c>
      <c r="E37" s="185">
        <v>671</v>
      </c>
      <c r="F37" s="184">
        <f>G37+H37</f>
        <v>350</v>
      </c>
      <c r="G37" s="262">
        <v>164</v>
      </c>
      <c r="H37" s="263">
        <v>186</v>
      </c>
    </row>
    <row r="38" spans="1:8" ht="15.75">
      <c r="A38" s="118">
        <v>2</v>
      </c>
      <c r="B38" s="119" t="s">
        <v>253</v>
      </c>
      <c r="C38" s="184">
        <f aca="true" t="shared" si="3" ref="C38:C99">D38+E38</f>
        <v>547</v>
      </c>
      <c r="D38" s="185">
        <v>333</v>
      </c>
      <c r="E38" s="185">
        <v>214</v>
      </c>
      <c r="F38" s="363">
        <f aca="true" t="shared" si="4" ref="F38:F99">G38+H38</f>
        <v>0</v>
      </c>
      <c r="G38" s="342">
        <v>0</v>
      </c>
      <c r="H38" s="342">
        <v>0</v>
      </c>
    </row>
    <row r="39" spans="1:8" ht="15.75">
      <c r="A39" s="118">
        <v>3</v>
      </c>
      <c r="B39" s="119" t="s">
        <v>169</v>
      </c>
      <c r="C39" s="184">
        <f t="shared" si="3"/>
        <v>1226</v>
      </c>
      <c r="D39" s="185">
        <v>1138</v>
      </c>
      <c r="E39" s="185">
        <v>88</v>
      </c>
      <c r="F39" s="184">
        <f t="shared" si="4"/>
        <v>85</v>
      </c>
      <c r="G39" s="185">
        <v>74</v>
      </c>
      <c r="H39" s="185">
        <v>11</v>
      </c>
    </row>
    <row r="40" spans="1:8" ht="15.75">
      <c r="A40" s="118">
        <v>4</v>
      </c>
      <c r="B40" s="119" t="s">
        <v>170</v>
      </c>
      <c r="C40" s="184">
        <f t="shared" si="3"/>
        <v>671</v>
      </c>
      <c r="D40" s="185">
        <v>622</v>
      </c>
      <c r="E40" s="185">
        <v>49</v>
      </c>
      <c r="F40" s="184">
        <f t="shared" si="4"/>
        <v>21</v>
      </c>
      <c r="G40" s="185">
        <v>21</v>
      </c>
      <c r="H40" s="342">
        <v>0</v>
      </c>
    </row>
    <row r="41" spans="1:8" ht="15.75">
      <c r="A41" s="118">
        <v>5</v>
      </c>
      <c r="B41" s="119" t="s">
        <v>171</v>
      </c>
      <c r="C41" s="184">
        <f t="shared" si="3"/>
        <v>334</v>
      </c>
      <c r="D41" s="185">
        <v>229</v>
      </c>
      <c r="E41" s="185">
        <v>105</v>
      </c>
      <c r="F41" s="184">
        <f t="shared" si="4"/>
        <v>3</v>
      </c>
      <c r="G41" s="185">
        <v>3</v>
      </c>
      <c r="H41" s="342">
        <v>0</v>
      </c>
    </row>
    <row r="42" spans="1:12" ht="15.75">
      <c r="A42" s="118">
        <v>6</v>
      </c>
      <c r="B42" s="319" t="s">
        <v>172</v>
      </c>
      <c r="C42" s="303"/>
      <c r="D42" s="340"/>
      <c r="E42" s="340"/>
      <c r="F42" s="303"/>
      <c r="G42" s="364"/>
      <c r="H42" s="364"/>
      <c r="I42" s="283"/>
      <c r="J42" s="283"/>
      <c r="K42" s="283"/>
      <c r="L42" s="283"/>
    </row>
    <row r="43" spans="1:8" ht="15.75">
      <c r="A43" s="118">
        <v>7</v>
      </c>
      <c r="B43" s="119" t="s">
        <v>173</v>
      </c>
      <c r="C43" s="184">
        <f t="shared" si="3"/>
        <v>1849</v>
      </c>
      <c r="D43" s="185">
        <v>1108</v>
      </c>
      <c r="E43" s="185">
        <v>741</v>
      </c>
      <c r="F43" s="184">
        <f t="shared" si="4"/>
        <v>321</v>
      </c>
      <c r="G43" s="185">
        <v>321</v>
      </c>
      <c r="H43" s="342">
        <v>0</v>
      </c>
    </row>
    <row r="44" spans="1:8" ht="15.75">
      <c r="A44" s="118">
        <v>8</v>
      </c>
      <c r="B44" s="119" t="s">
        <v>174</v>
      </c>
      <c r="C44" s="184">
        <f t="shared" si="3"/>
        <v>842</v>
      </c>
      <c r="D44" s="185">
        <v>828</v>
      </c>
      <c r="E44" s="185">
        <v>14</v>
      </c>
      <c r="F44" s="184">
        <f t="shared" si="4"/>
        <v>3</v>
      </c>
      <c r="G44" s="262">
        <v>3</v>
      </c>
      <c r="H44" s="342">
        <v>0</v>
      </c>
    </row>
    <row r="45" spans="1:8" ht="15.75">
      <c r="A45" s="118">
        <v>9</v>
      </c>
      <c r="B45" s="119" t="s">
        <v>175</v>
      </c>
      <c r="C45" s="184">
        <f t="shared" si="3"/>
        <v>713</v>
      </c>
      <c r="D45" s="185">
        <v>595</v>
      </c>
      <c r="E45" s="185">
        <v>118</v>
      </c>
      <c r="F45" s="184">
        <f t="shared" si="4"/>
        <v>81</v>
      </c>
      <c r="G45" s="262">
        <v>80</v>
      </c>
      <c r="H45" s="263">
        <v>1</v>
      </c>
    </row>
    <row r="46" spans="1:8" ht="15.75">
      <c r="A46" s="118">
        <v>10</v>
      </c>
      <c r="B46" s="119" t="s">
        <v>176</v>
      </c>
      <c r="C46" s="184">
        <f t="shared" si="3"/>
        <v>1982</v>
      </c>
      <c r="D46" s="185">
        <v>1945</v>
      </c>
      <c r="E46" s="185">
        <v>37</v>
      </c>
      <c r="F46" s="184">
        <f t="shared" si="4"/>
        <v>5</v>
      </c>
      <c r="G46" s="262">
        <v>5</v>
      </c>
      <c r="H46" s="342">
        <v>0</v>
      </c>
    </row>
    <row r="47" spans="1:8" ht="15.75">
      <c r="A47" s="118">
        <v>11</v>
      </c>
      <c r="B47" s="119" t="s">
        <v>177</v>
      </c>
      <c r="C47" s="184">
        <f t="shared" si="3"/>
        <v>2977</v>
      </c>
      <c r="D47" s="185">
        <v>1772</v>
      </c>
      <c r="E47" s="185">
        <v>1205</v>
      </c>
      <c r="F47" s="184">
        <f t="shared" si="4"/>
        <v>231</v>
      </c>
      <c r="G47" s="262">
        <v>203</v>
      </c>
      <c r="H47" s="263">
        <v>28</v>
      </c>
    </row>
    <row r="48" spans="1:8" ht="15.75">
      <c r="A48" s="118">
        <v>12</v>
      </c>
      <c r="B48" s="119" t="s">
        <v>178</v>
      </c>
      <c r="C48" s="184">
        <f t="shared" si="3"/>
        <v>560</v>
      </c>
      <c r="D48" s="185">
        <v>378</v>
      </c>
      <c r="E48" s="185">
        <v>182</v>
      </c>
      <c r="F48" s="184">
        <f t="shared" si="4"/>
        <v>47</v>
      </c>
      <c r="G48" s="262">
        <v>32</v>
      </c>
      <c r="H48" s="263">
        <v>15</v>
      </c>
    </row>
    <row r="49" spans="1:8" ht="15.75">
      <c r="A49" s="118">
        <v>13</v>
      </c>
      <c r="B49" s="119" t="s">
        <v>179</v>
      </c>
      <c r="C49" s="184">
        <f t="shared" si="3"/>
        <v>1406</v>
      </c>
      <c r="D49" s="185">
        <v>860</v>
      </c>
      <c r="E49" s="185">
        <v>546</v>
      </c>
      <c r="F49" s="184">
        <f t="shared" si="4"/>
        <v>217</v>
      </c>
      <c r="G49" s="262">
        <v>214</v>
      </c>
      <c r="H49" s="263">
        <v>3</v>
      </c>
    </row>
    <row r="50" spans="1:8" ht="15.75">
      <c r="A50" s="118">
        <v>14</v>
      </c>
      <c r="B50" s="119" t="s">
        <v>180</v>
      </c>
      <c r="C50" s="184">
        <f t="shared" si="3"/>
        <v>52</v>
      </c>
      <c r="D50" s="185">
        <v>52</v>
      </c>
      <c r="E50" s="360">
        <v>0</v>
      </c>
      <c r="F50" s="363">
        <f>G50+H50</f>
        <v>0</v>
      </c>
      <c r="G50" s="342">
        <v>0</v>
      </c>
      <c r="H50" s="342">
        <v>0</v>
      </c>
    </row>
    <row r="51" spans="1:8" ht="15.75">
      <c r="A51" s="118">
        <v>15</v>
      </c>
      <c r="B51" s="119" t="s">
        <v>181</v>
      </c>
      <c r="C51" s="184">
        <f t="shared" si="3"/>
        <v>473</v>
      </c>
      <c r="D51" s="185">
        <v>336</v>
      </c>
      <c r="E51" s="185">
        <v>137</v>
      </c>
      <c r="F51" s="184">
        <f t="shared" si="4"/>
        <v>30</v>
      </c>
      <c r="G51" s="262">
        <v>26</v>
      </c>
      <c r="H51" s="263">
        <v>4</v>
      </c>
    </row>
    <row r="52" spans="1:8" ht="15.75">
      <c r="A52" s="118">
        <v>16</v>
      </c>
      <c r="B52" s="119" t="s">
        <v>182</v>
      </c>
      <c r="C52" s="184">
        <f t="shared" si="3"/>
        <v>713</v>
      </c>
      <c r="D52" s="185">
        <v>604</v>
      </c>
      <c r="E52" s="185">
        <v>109</v>
      </c>
      <c r="F52" s="184">
        <f t="shared" si="4"/>
        <v>118</v>
      </c>
      <c r="G52" s="262">
        <v>118</v>
      </c>
      <c r="H52" s="342">
        <v>0</v>
      </c>
    </row>
    <row r="53" spans="1:8" ht="15.75">
      <c r="A53" s="118">
        <v>17</v>
      </c>
      <c r="B53" s="119" t="s">
        <v>183</v>
      </c>
      <c r="C53" s="184">
        <f t="shared" si="3"/>
        <v>583</v>
      </c>
      <c r="D53" s="185">
        <v>515</v>
      </c>
      <c r="E53" s="185">
        <v>68</v>
      </c>
      <c r="F53" s="184">
        <f t="shared" si="4"/>
        <v>74</v>
      </c>
      <c r="G53" s="262">
        <v>68</v>
      </c>
      <c r="H53" s="263">
        <v>6</v>
      </c>
    </row>
    <row r="54" spans="1:8" ht="15.75">
      <c r="A54" s="118">
        <v>18</v>
      </c>
      <c r="B54" s="119" t="s">
        <v>184</v>
      </c>
      <c r="C54" s="184">
        <f t="shared" si="3"/>
        <v>494</v>
      </c>
      <c r="D54" s="185">
        <v>380</v>
      </c>
      <c r="E54" s="185">
        <v>114</v>
      </c>
      <c r="F54" s="184">
        <f t="shared" si="4"/>
        <v>28</v>
      </c>
      <c r="G54" s="262">
        <v>25</v>
      </c>
      <c r="H54" s="263">
        <v>3</v>
      </c>
    </row>
    <row r="55" spans="1:8" ht="15.75">
      <c r="A55" s="118">
        <v>19</v>
      </c>
      <c r="B55" s="120" t="s">
        <v>202</v>
      </c>
      <c r="C55" s="184">
        <f t="shared" si="3"/>
        <v>1357</v>
      </c>
      <c r="D55" s="185">
        <v>1212</v>
      </c>
      <c r="E55" s="185">
        <v>145</v>
      </c>
      <c r="F55" s="184">
        <f t="shared" si="4"/>
        <v>9</v>
      </c>
      <c r="G55" s="185">
        <v>5</v>
      </c>
      <c r="H55" s="185">
        <v>4</v>
      </c>
    </row>
    <row r="56" spans="1:8" ht="15.75">
      <c r="A56" s="118">
        <v>20</v>
      </c>
      <c r="B56" s="120" t="s">
        <v>203</v>
      </c>
      <c r="C56" s="184">
        <f t="shared" si="3"/>
        <v>845</v>
      </c>
      <c r="D56" s="185">
        <v>782</v>
      </c>
      <c r="E56" s="185">
        <v>63</v>
      </c>
      <c r="F56" s="184">
        <f t="shared" si="4"/>
        <v>89</v>
      </c>
      <c r="G56" s="185">
        <v>7</v>
      </c>
      <c r="H56" s="185">
        <v>82</v>
      </c>
    </row>
    <row r="57" spans="1:10" ht="15.75">
      <c r="A57" s="118">
        <v>21</v>
      </c>
      <c r="B57" s="120" t="s">
        <v>204</v>
      </c>
      <c r="C57" s="184">
        <f t="shared" si="3"/>
        <v>909</v>
      </c>
      <c r="D57" s="185">
        <v>879</v>
      </c>
      <c r="E57" s="185">
        <v>30</v>
      </c>
      <c r="F57" s="184">
        <f t="shared" si="4"/>
        <v>22</v>
      </c>
      <c r="G57" s="185">
        <v>22</v>
      </c>
      <c r="H57" s="185"/>
      <c r="J57" s="188"/>
    </row>
    <row r="58" spans="1:8" ht="15.75">
      <c r="A58" s="118">
        <v>22</v>
      </c>
      <c r="B58" s="120" t="s">
        <v>205</v>
      </c>
      <c r="C58" s="184">
        <f t="shared" si="3"/>
        <v>499</v>
      </c>
      <c r="D58" s="185">
        <v>459</v>
      </c>
      <c r="E58" s="185">
        <v>40</v>
      </c>
      <c r="F58" s="184">
        <f t="shared" si="4"/>
        <v>47</v>
      </c>
      <c r="G58" s="185">
        <v>16</v>
      </c>
      <c r="H58" s="185">
        <v>31</v>
      </c>
    </row>
    <row r="59" spans="1:8" ht="15.75">
      <c r="A59" s="118">
        <v>23</v>
      </c>
      <c r="B59" s="120" t="s">
        <v>206</v>
      </c>
      <c r="C59" s="184">
        <f t="shared" si="3"/>
        <v>342</v>
      </c>
      <c r="D59" s="185">
        <v>291</v>
      </c>
      <c r="E59" s="185">
        <v>51</v>
      </c>
      <c r="F59" s="184">
        <f t="shared" si="4"/>
        <v>41</v>
      </c>
      <c r="G59" s="185">
        <v>30</v>
      </c>
      <c r="H59" s="185">
        <v>11</v>
      </c>
    </row>
    <row r="60" spans="1:8" ht="15.75">
      <c r="A60" s="118">
        <v>24</v>
      </c>
      <c r="B60" s="120" t="s">
        <v>207</v>
      </c>
      <c r="C60" s="184">
        <f t="shared" si="3"/>
        <v>2804</v>
      </c>
      <c r="D60" s="185">
        <v>1764</v>
      </c>
      <c r="E60" s="185">
        <v>1040</v>
      </c>
      <c r="F60" s="184">
        <f t="shared" si="4"/>
        <v>182</v>
      </c>
      <c r="G60" s="185">
        <v>126</v>
      </c>
      <c r="H60" s="185">
        <v>56</v>
      </c>
    </row>
    <row r="61" spans="1:8" ht="15.75">
      <c r="A61" s="118">
        <v>25</v>
      </c>
      <c r="B61" s="120" t="s">
        <v>208</v>
      </c>
      <c r="C61" s="184">
        <f t="shared" si="3"/>
        <v>2034</v>
      </c>
      <c r="D61" s="185">
        <v>1642</v>
      </c>
      <c r="E61" s="185">
        <v>392</v>
      </c>
      <c r="F61" s="184">
        <f t="shared" si="4"/>
        <v>157</v>
      </c>
      <c r="G61" s="185">
        <v>150</v>
      </c>
      <c r="H61" s="185">
        <v>7</v>
      </c>
    </row>
    <row r="62" spans="1:8" ht="15.75">
      <c r="A62" s="118">
        <v>26</v>
      </c>
      <c r="B62" s="120" t="s">
        <v>209</v>
      </c>
      <c r="C62" s="184">
        <f t="shared" si="3"/>
        <v>506</v>
      </c>
      <c r="D62" s="185">
        <v>466</v>
      </c>
      <c r="E62" s="185">
        <v>40</v>
      </c>
      <c r="F62" s="184">
        <f t="shared" si="4"/>
        <v>40</v>
      </c>
      <c r="G62" s="185">
        <v>22</v>
      </c>
      <c r="H62" s="185">
        <v>18</v>
      </c>
    </row>
    <row r="63" spans="1:8" ht="15.75">
      <c r="A63" s="118">
        <v>27</v>
      </c>
      <c r="B63" s="120" t="s">
        <v>210</v>
      </c>
      <c r="C63" s="184">
        <f t="shared" si="3"/>
        <v>213</v>
      </c>
      <c r="D63" s="185">
        <v>167</v>
      </c>
      <c r="E63" s="185">
        <v>46</v>
      </c>
      <c r="F63" s="184">
        <f t="shared" si="4"/>
        <v>80</v>
      </c>
      <c r="G63" s="185">
        <v>80</v>
      </c>
      <c r="H63" s="342">
        <v>0</v>
      </c>
    </row>
    <row r="64" spans="1:8" ht="15.75">
      <c r="A64" s="118">
        <v>28</v>
      </c>
      <c r="B64" s="120" t="s">
        <v>211</v>
      </c>
      <c r="C64" s="184">
        <f t="shared" si="3"/>
        <v>149</v>
      </c>
      <c r="D64" s="185">
        <v>113</v>
      </c>
      <c r="E64" s="185">
        <v>36</v>
      </c>
      <c r="F64" s="184">
        <f t="shared" si="4"/>
        <v>6</v>
      </c>
      <c r="G64" s="185">
        <v>6</v>
      </c>
      <c r="H64" s="342">
        <v>0</v>
      </c>
    </row>
    <row r="65" spans="1:8" ht="15.75">
      <c r="A65" s="118">
        <v>29</v>
      </c>
      <c r="B65" s="120" t="s">
        <v>212</v>
      </c>
      <c r="C65" s="184">
        <f t="shared" si="3"/>
        <v>725</v>
      </c>
      <c r="D65" s="185">
        <v>495</v>
      </c>
      <c r="E65" s="185">
        <v>230</v>
      </c>
      <c r="F65" s="184">
        <f t="shared" si="4"/>
        <v>108</v>
      </c>
      <c r="G65" s="185">
        <v>107</v>
      </c>
      <c r="H65" s="185">
        <v>1</v>
      </c>
    </row>
    <row r="66" spans="1:8" ht="15.75">
      <c r="A66" s="118">
        <v>30</v>
      </c>
      <c r="B66" s="120" t="s">
        <v>213</v>
      </c>
      <c r="C66" s="184">
        <f t="shared" si="3"/>
        <v>1445</v>
      </c>
      <c r="D66" s="185">
        <v>929</v>
      </c>
      <c r="E66" s="185">
        <v>516</v>
      </c>
      <c r="F66" s="184">
        <f t="shared" si="4"/>
        <v>58</v>
      </c>
      <c r="G66" s="185">
        <v>52</v>
      </c>
      <c r="H66" s="185">
        <v>6</v>
      </c>
    </row>
    <row r="67" spans="1:8" ht="15.75">
      <c r="A67" s="118">
        <v>31</v>
      </c>
      <c r="B67" s="120" t="s">
        <v>214</v>
      </c>
      <c r="C67" s="184">
        <f t="shared" si="3"/>
        <v>187</v>
      </c>
      <c r="D67" s="185">
        <v>187</v>
      </c>
      <c r="E67" s="342">
        <v>0</v>
      </c>
      <c r="F67" s="363">
        <f>G67+H67</f>
        <v>0</v>
      </c>
      <c r="G67" s="342">
        <v>0</v>
      </c>
      <c r="H67" s="342">
        <v>0</v>
      </c>
    </row>
    <row r="68" spans="1:8" ht="15.75">
      <c r="A68" s="118">
        <v>32</v>
      </c>
      <c r="B68" s="120" t="s">
        <v>215</v>
      </c>
      <c r="C68" s="184">
        <f t="shared" si="3"/>
        <v>887</v>
      </c>
      <c r="D68" s="185">
        <v>721</v>
      </c>
      <c r="E68" s="185">
        <v>166</v>
      </c>
      <c r="F68" s="184">
        <f t="shared" si="4"/>
        <v>21</v>
      </c>
      <c r="G68" s="185">
        <v>21</v>
      </c>
      <c r="H68" s="342">
        <v>0</v>
      </c>
    </row>
    <row r="69" spans="1:8" ht="15.75">
      <c r="A69" s="118">
        <v>33</v>
      </c>
      <c r="B69" s="120" t="s">
        <v>216</v>
      </c>
      <c r="C69" s="184">
        <f t="shared" si="3"/>
        <v>554</v>
      </c>
      <c r="D69" s="185">
        <v>548</v>
      </c>
      <c r="E69" s="185">
        <v>6</v>
      </c>
      <c r="F69" s="184">
        <f t="shared" si="4"/>
        <v>4</v>
      </c>
      <c r="G69" s="185">
        <v>4</v>
      </c>
      <c r="H69" s="342">
        <v>0</v>
      </c>
    </row>
    <row r="70" spans="1:8" ht="15.75">
      <c r="A70" s="118">
        <v>34</v>
      </c>
      <c r="B70" s="120" t="s">
        <v>217</v>
      </c>
      <c r="C70" s="184">
        <f t="shared" si="3"/>
        <v>451</v>
      </c>
      <c r="D70" s="185">
        <v>391</v>
      </c>
      <c r="E70" s="185">
        <v>60</v>
      </c>
      <c r="F70" s="184">
        <f t="shared" si="4"/>
        <v>24</v>
      </c>
      <c r="G70" s="185">
        <v>21</v>
      </c>
      <c r="H70" s="185">
        <v>3</v>
      </c>
    </row>
    <row r="71" spans="1:8" ht="15.75">
      <c r="A71" s="118">
        <v>35</v>
      </c>
      <c r="B71" s="120" t="s">
        <v>218</v>
      </c>
      <c r="C71" s="184">
        <f t="shared" si="3"/>
        <v>1649</v>
      </c>
      <c r="D71" s="185">
        <v>1440</v>
      </c>
      <c r="E71" s="185">
        <v>209</v>
      </c>
      <c r="F71" s="184">
        <f t="shared" si="4"/>
        <v>132</v>
      </c>
      <c r="G71" s="185">
        <v>90</v>
      </c>
      <c r="H71" s="185">
        <v>42</v>
      </c>
    </row>
    <row r="72" spans="1:8" ht="15.75">
      <c r="A72" s="118">
        <v>36</v>
      </c>
      <c r="B72" s="121" t="s">
        <v>219</v>
      </c>
      <c r="C72" s="184">
        <f t="shared" si="3"/>
        <v>1113</v>
      </c>
      <c r="D72" s="185">
        <v>855</v>
      </c>
      <c r="E72" s="185">
        <v>258</v>
      </c>
      <c r="F72" s="184">
        <f t="shared" si="4"/>
        <v>126</v>
      </c>
      <c r="G72" s="94">
        <v>79</v>
      </c>
      <c r="H72" s="214">
        <v>47</v>
      </c>
    </row>
    <row r="73" spans="1:8" ht="15.75">
      <c r="A73" s="118">
        <v>37</v>
      </c>
      <c r="B73" s="121" t="s">
        <v>220</v>
      </c>
      <c r="C73" s="184">
        <f t="shared" si="3"/>
        <v>490</v>
      </c>
      <c r="D73" s="185">
        <f>96+99+140</f>
        <v>335</v>
      </c>
      <c r="E73" s="185">
        <f>2+24+129</f>
        <v>155</v>
      </c>
      <c r="F73" s="184">
        <f t="shared" si="4"/>
        <v>51</v>
      </c>
      <c r="G73" s="94">
        <f>17+14</f>
        <v>31</v>
      </c>
      <c r="H73" s="214">
        <f>20</f>
        <v>20</v>
      </c>
    </row>
    <row r="74" spans="1:8" ht="15.75">
      <c r="A74" s="118">
        <v>38</v>
      </c>
      <c r="B74" s="121" t="s">
        <v>221</v>
      </c>
      <c r="C74" s="184">
        <f t="shared" si="3"/>
        <v>1158</v>
      </c>
      <c r="D74" s="185">
        <v>860</v>
      </c>
      <c r="E74" s="185">
        <v>298</v>
      </c>
      <c r="F74" s="184">
        <f t="shared" si="4"/>
        <v>54</v>
      </c>
      <c r="G74" s="94">
        <v>47</v>
      </c>
      <c r="H74" s="214">
        <v>7</v>
      </c>
    </row>
    <row r="75" spans="1:8" ht="15.75">
      <c r="A75" s="118">
        <v>39</v>
      </c>
      <c r="B75" s="121" t="s">
        <v>222</v>
      </c>
      <c r="C75" s="184">
        <f t="shared" si="3"/>
        <v>261</v>
      </c>
      <c r="D75" s="185">
        <v>261</v>
      </c>
      <c r="E75" s="185"/>
      <c r="F75" s="184"/>
      <c r="G75" s="94"/>
      <c r="H75" s="214"/>
    </row>
    <row r="76" spans="1:8" ht="15.75">
      <c r="A76" s="118">
        <v>40</v>
      </c>
      <c r="B76" s="121" t="s">
        <v>223</v>
      </c>
      <c r="C76" s="184">
        <f t="shared" si="3"/>
        <v>11958</v>
      </c>
      <c r="D76" s="185">
        <v>8737</v>
      </c>
      <c r="E76" s="185">
        <v>3221</v>
      </c>
      <c r="F76" s="184">
        <f t="shared" si="4"/>
        <v>891</v>
      </c>
      <c r="G76" s="94">
        <v>558</v>
      </c>
      <c r="H76" s="214">
        <v>333</v>
      </c>
    </row>
    <row r="77" spans="1:8" ht="15.75">
      <c r="A77" s="118">
        <v>41</v>
      </c>
      <c r="B77" s="121" t="s">
        <v>224</v>
      </c>
      <c r="C77" s="184">
        <f t="shared" si="3"/>
        <v>1051</v>
      </c>
      <c r="D77" s="185">
        <v>830</v>
      </c>
      <c r="E77" s="185">
        <v>221</v>
      </c>
      <c r="F77" s="184">
        <f t="shared" si="4"/>
        <v>25</v>
      </c>
      <c r="G77" s="94">
        <v>8</v>
      </c>
      <c r="H77" s="214">
        <v>17</v>
      </c>
    </row>
    <row r="78" spans="1:8" ht="15.75">
      <c r="A78" s="118">
        <v>42</v>
      </c>
      <c r="B78" s="121" t="s">
        <v>225</v>
      </c>
      <c r="C78" s="184">
        <f t="shared" si="3"/>
        <v>610</v>
      </c>
      <c r="D78" s="185">
        <v>487</v>
      </c>
      <c r="E78" s="185">
        <v>123</v>
      </c>
      <c r="F78" s="184">
        <f t="shared" si="4"/>
        <v>6</v>
      </c>
      <c r="G78" s="94"/>
      <c r="H78" s="214">
        <v>6</v>
      </c>
    </row>
    <row r="79" spans="1:8" ht="15.75">
      <c r="A79" s="118">
        <v>43</v>
      </c>
      <c r="B79" s="121" t="s">
        <v>226</v>
      </c>
      <c r="C79" s="184">
        <f t="shared" si="3"/>
        <v>979</v>
      </c>
      <c r="D79" s="185">
        <v>888</v>
      </c>
      <c r="E79" s="185">
        <v>91</v>
      </c>
      <c r="F79" s="184">
        <f t="shared" si="4"/>
        <v>15</v>
      </c>
      <c r="G79" s="94">
        <v>9</v>
      </c>
      <c r="H79" s="214">
        <v>6</v>
      </c>
    </row>
    <row r="80" spans="1:8" ht="15.75">
      <c r="A80" s="118">
        <v>44</v>
      </c>
      <c r="B80" s="121" t="s">
        <v>227</v>
      </c>
      <c r="C80" s="184">
        <f t="shared" si="3"/>
        <v>425</v>
      </c>
      <c r="D80" s="185">
        <v>406</v>
      </c>
      <c r="E80" s="265">
        <v>19</v>
      </c>
      <c r="F80" s="184">
        <f t="shared" si="4"/>
        <v>22</v>
      </c>
      <c r="G80" s="94">
        <v>16</v>
      </c>
      <c r="H80" s="214">
        <v>6</v>
      </c>
    </row>
    <row r="81" spans="1:8" s="98" customFormat="1" ht="15.75">
      <c r="A81" s="118">
        <v>45</v>
      </c>
      <c r="B81" s="122" t="s">
        <v>233</v>
      </c>
      <c r="C81" s="184">
        <f t="shared" si="3"/>
        <v>3762</v>
      </c>
      <c r="D81" s="185">
        <v>1904</v>
      </c>
      <c r="E81" s="185">
        <v>1858</v>
      </c>
      <c r="F81" s="184">
        <f t="shared" si="4"/>
        <v>67</v>
      </c>
      <c r="G81" s="94">
        <v>34</v>
      </c>
      <c r="H81" s="214">
        <v>33</v>
      </c>
    </row>
    <row r="82" spans="1:8" s="98" customFormat="1" ht="15.75">
      <c r="A82" s="118">
        <v>46</v>
      </c>
      <c r="B82" s="122" t="s">
        <v>234</v>
      </c>
      <c r="C82" s="184">
        <f t="shared" si="3"/>
        <v>436</v>
      </c>
      <c r="D82" s="185">
        <f>36+301</f>
        <v>337</v>
      </c>
      <c r="E82" s="185">
        <f>18+81</f>
        <v>99</v>
      </c>
      <c r="F82" s="184">
        <f t="shared" si="4"/>
        <v>29</v>
      </c>
      <c r="G82" s="94">
        <f>5+19</f>
        <v>24</v>
      </c>
      <c r="H82" s="214">
        <f>0+5</f>
        <v>5</v>
      </c>
    </row>
    <row r="83" spans="1:8" s="98" customFormat="1" ht="15.75">
      <c r="A83" s="118">
        <v>47</v>
      </c>
      <c r="B83" s="122" t="s">
        <v>235</v>
      </c>
      <c r="C83" s="184">
        <f t="shared" si="3"/>
        <v>634</v>
      </c>
      <c r="D83" s="185">
        <f>49+535</f>
        <v>584</v>
      </c>
      <c r="E83" s="185">
        <f>11+39</f>
        <v>50</v>
      </c>
      <c r="F83" s="184">
        <f t="shared" si="4"/>
        <v>61</v>
      </c>
      <c r="G83" s="94">
        <f>42+17</f>
        <v>59</v>
      </c>
      <c r="H83" s="214">
        <f>0+2</f>
        <v>2</v>
      </c>
    </row>
    <row r="84" spans="1:8" s="98" customFormat="1" ht="15.75">
      <c r="A84" s="118">
        <v>48</v>
      </c>
      <c r="B84" s="122" t="s">
        <v>236</v>
      </c>
      <c r="C84" s="184">
        <f t="shared" si="3"/>
        <v>972</v>
      </c>
      <c r="D84" s="185">
        <v>938</v>
      </c>
      <c r="E84" s="185">
        <v>34</v>
      </c>
      <c r="F84" s="363">
        <f>G84+H84</f>
        <v>0</v>
      </c>
      <c r="G84" s="342">
        <v>0</v>
      </c>
      <c r="H84" s="342">
        <v>0</v>
      </c>
    </row>
    <row r="85" spans="1:8" s="98" customFormat="1" ht="15.75">
      <c r="A85" s="118">
        <v>49</v>
      </c>
      <c r="B85" s="122" t="s">
        <v>237</v>
      </c>
      <c r="C85" s="184">
        <f t="shared" si="3"/>
        <v>7650</v>
      </c>
      <c r="D85" s="185">
        <v>1121</v>
      </c>
      <c r="E85" s="185">
        <v>6529</v>
      </c>
      <c r="F85" s="184">
        <f t="shared" si="4"/>
        <v>53</v>
      </c>
      <c r="G85" s="94">
        <v>46</v>
      </c>
      <c r="H85" s="214">
        <v>7</v>
      </c>
    </row>
    <row r="86" spans="1:8" s="98" customFormat="1" ht="15.75">
      <c r="A86" s="118">
        <v>50</v>
      </c>
      <c r="B86" s="122" t="s">
        <v>238</v>
      </c>
      <c r="C86" s="184">
        <f t="shared" si="3"/>
        <v>1137</v>
      </c>
      <c r="D86" s="185">
        <v>766</v>
      </c>
      <c r="E86" s="185">
        <v>371</v>
      </c>
      <c r="F86" s="184">
        <f t="shared" si="4"/>
        <v>77</v>
      </c>
      <c r="G86" s="94">
        <v>68</v>
      </c>
      <c r="H86" s="214">
        <v>9</v>
      </c>
    </row>
    <row r="87" spans="1:8" s="98" customFormat="1" ht="15.75">
      <c r="A87" s="118">
        <v>51</v>
      </c>
      <c r="B87" s="123" t="s">
        <v>239</v>
      </c>
      <c r="C87" s="184">
        <f t="shared" si="3"/>
        <v>1424</v>
      </c>
      <c r="D87" s="185">
        <v>1075</v>
      </c>
      <c r="E87" s="185">
        <v>349</v>
      </c>
      <c r="F87" s="184">
        <f t="shared" si="4"/>
        <v>179</v>
      </c>
      <c r="G87" s="94">
        <v>178</v>
      </c>
      <c r="H87" s="214">
        <v>1</v>
      </c>
    </row>
    <row r="88" spans="1:8" s="98" customFormat="1" ht="15.75">
      <c r="A88" s="118">
        <v>52</v>
      </c>
      <c r="B88" s="123" t="s">
        <v>240</v>
      </c>
      <c r="C88" s="184">
        <f t="shared" si="3"/>
        <v>1288</v>
      </c>
      <c r="D88" s="185">
        <v>967</v>
      </c>
      <c r="E88" s="185">
        <v>321</v>
      </c>
      <c r="F88" s="184">
        <f t="shared" si="4"/>
        <v>123</v>
      </c>
      <c r="G88" s="94">
        <v>96</v>
      </c>
      <c r="H88" s="214">
        <v>27</v>
      </c>
    </row>
    <row r="89" spans="1:8" s="98" customFormat="1" ht="15.75">
      <c r="A89" s="118">
        <v>53</v>
      </c>
      <c r="B89" s="123" t="s">
        <v>241</v>
      </c>
      <c r="C89" s="184">
        <f t="shared" si="3"/>
        <v>1009</v>
      </c>
      <c r="D89" s="185">
        <v>914</v>
      </c>
      <c r="E89" s="185">
        <v>95</v>
      </c>
      <c r="F89" s="184">
        <f t="shared" si="4"/>
        <v>44</v>
      </c>
      <c r="G89" s="94">
        <v>41</v>
      </c>
      <c r="H89" s="214">
        <v>3</v>
      </c>
    </row>
    <row r="90" spans="1:8" s="98" customFormat="1" ht="15.75">
      <c r="A90" s="118">
        <v>54</v>
      </c>
      <c r="B90" s="123" t="s">
        <v>242</v>
      </c>
      <c r="C90" s="184">
        <f t="shared" si="3"/>
        <v>1182</v>
      </c>
      <c r="D90" s="185">
        <v>981</v>
      </c>
      <c r="E90" s="185">
        <v>201</v>
      </c>
      <c r="F90" s="184">
        <f t="shared" si="4"/>
        <v>15</v>
      </c>
      <c r="G90" s="94">
        <v>15</v>
      </c>
      <c r="H90" s="342">
        <v>0</v>
      </c>
    </row>
    <row r="91" spans="1:8" s="98" customFormat="1" ht="15.75">
      <c r="A91" s="118">
        <v>55</v>
      </c>
      <c r="B91" s="123" t="s">
        <v>243</v>
      </c>
      <c r="C91" s="184">
        <f t="shared" si="3"/>
        <v>723</v>
      </c>
      <c r="D91" s="185">
        <v>669</v>
      </c>
      <c r="E91" s="185">
        <v>54</v>
      </c>
      <c r="F91" s="184">
        <f t="shared" si="4"/>
        <v>13</v>
      </c>
      <c r="G91" s="94">
        <v>12</v>
      </c>
      <c r="H91" s="214">
        <v>1</v>
      </c>
    </row>
    <row r="92" spans="1:8" s="98" customFormat="1" ht="15.75">
      <c r="A92" s="118">
        <v>56</v>
      </c>
      <c r="B92" s="123" t="s">
        <v>244</v>
      </c>
      <c r="C92" s="184">
        <f t="shared" si="3"/>
        <v>1814</v>
      </c>
      <c r="D92" s="185">
        <v>1445</v>
      </c>
      <c r="E92" s="185">
        <v>369</v>
      </c>
      <c r="F92" s="184">
        <f t="shared" si="4"/>
        <v>540</v>
      </c>
      <c r="G92" s="94">
        <v>524</v>
      </c>
      <c r="H92" s="214">
        <v>16</v>
      </c>
    </row>
    <row r="93" spans="1:8" s="98" customFormat="1" ht="15.75">
      <c r="A93" s="118">
        <v>57</v>
      </c>
      <c r="B93" s="123" t="s">
        <v>245</v>
      </c>
      <c r="C93" s="184">
        <f t="shared" si="3"/>
        <v>1156</v>
      </c>
      <c r="D93" s="185">
        <v>984</v>
      </c>
      <c r="E93" s="185">
        <v>172</v>
      </c>
      <c r="F93" s="184">
        <f t="shared" si="4"/>
        <v>146</v>
      </c>
      <c r="G93" s="94">
        <v>146</v>
      </c>
      <c r="H93" s="342">
        <v>0</v>
      </c>
    </row>
    <row r="94" spans="1:8" s="98" customFormat="1" ht="15.75">
      <c r="A94" s="118">
        <v>58</v>
      </c>
      <c r="B94" s="123" t="s">
        <v>246</v>
      </c>
      <c r="C94" s="184">
        <f t="shared" si="3"/>
        <v>3030</v>
      </c>
      <c r="D94" s="185">
        <v>2562</v>
      </c>
      <c r="E94" s="185">
        <v>468</v>
      </c>
      <c r="F94" s="184">
        <f t="shared" si="4"/>
        <v>225</v>
      </c>
      <c r="G94" s="94">
        <v>222</v>
      </c>
      <c r="H94" s="214">
        <v>3</v>
      </c>
    </row>
    <row r="95" spans="1:8" s="98" customFormat="1" ht="15.75">
      <c r="A95" s="118">
        <v>59</v>
      </c>
      <c r="B95" s="123" t="s">
        <v>247</v>
      </c>
      <c r="C95" s="184">
        <f t="shared" si="3"/>
        <v>600</v>
      </c>
      <c r="D95" s="185">
        <v>441</v>
      </c>
      <c r="E95" s="185">
        <v>159</v>
      </c>
      <c r="F95" s="184">
        <f t="shared" si="4"/>
        <v>23</v>
      </c>
      <c r="G95" s="94">
        <v>23</v>
      </c>
      <c r="H95" s="342">
        <v>0</v>
      </c>
    </row>
    <row r="96" spans="1:8" s="98" customFormat="1" ht="15.75">
      <c r="A96" s="118">
        <v>60</v>
      </c>
      <c r="B96" s="123" t="s">
        <v>248</v>
      </c>
      <c r="C96" s="184">
        <f t="shared" si="3"/>
        <v>872</v>
      </c>
      <c r="D96" s="185">
        <v>518</v>
      </c>
      <c r="E96" s="185">
        <v>354</v>
      </c>
      <c r="F96" s="184">
        <f t="shared" si="4"/>
        <v>149</v>
      </c>
      <c r="G96" s="94">
        <v>149</v>
      </c>
      <c r="H96" s="342">
        <v>0</v>
      </c>
    </row>
    <row r="97" spans="1:8" s="98" customFormat="1" ht="15.75">
      <c r="A97" s="118">
        <v>61</v>
      </c>
      <c r="B97" s="123" t="s">
        <v>249</v>
      </c>
      <c r="C97" s="184">
        <f t="shared" si="3"/>
        <v>701</v>
      </c>
      <c r="D97" s="185">
        <v>699</v>
      </c>
      <c r="E97" s="185">
        <v>2</v>
      </c>
      <c r="F97" s="184">
        <f t="shared" si="4"/>
        <v>1</v>
      </c>
      <c r="G97" s="94">
        <v>1</v>
      </c>
      <c r="H97" s="342">
        <v>0</v>
      </c>
    </row>
    <row r="98" spans="1:8" s="98" customFormat="1" ht="19.5" customHeight="1">
      <c r="A98" s="118">
        <v>62</v>
      </c>
      <c r="B98" s="123" t="s">
        <v>250</v>
      </c>
      <c r="C98" s="184">
        <f t="shared" si="3"/>
        <v>697</v>
      </c>
      <c r="D98" s="185">
        <v>632</v>
      </c>
      <c r="E98" s="185">
        <v>65</v>
      </c>
      <c r="F98" s="184">
        <f t="shared" si="4"/>
        <v>38</v>
      </c>
      <c r="G98" s="94">
        <v>37</v>
      </c>
      <c r="H98" s="214">
        <v>1</v>
      </c>
    </row>
    <row r="99" spans="1:8" s="98" customFormat="1" ht="15.75">
      <c r="A99" s="118">
        <v>63</v>
      </c>
      <c r="B99" s="123" t="s">
        <v>251</v>
      </c>
      <c r="C99" s="184">
        <f t="shared" si="3"/>
        <v>958</v>
      </c>
      <c r="D99" s="185">
        <v>894</v>
      </c>
      <c r="E99" s="185">
        <v>64</v>
      </c>
      <c r="F99" s="184">
        <f t="shared" si="4"/>
        <v>9</v>
      </c>
      <c r="G99" s="94">
        <v>9</v>
      </c>
      <c r="H99" s="342">
        <v>0</v>
      </c>
    </row>
    <row r="100" spans="1:8" ht="12.75">
      <c r="A100"/>
      <c r="B100" s="80"/>
      <c r="C100"/>
      <c r="D100"/>
      <c r="E100"/>
      <c r="F100"/>
      <c r="G100" s="34"/>
      <c r="H100" s="8"/>
    </row>
    <row r="101" spans="1:8" s="10" customFormat="1" ht="12.75">
      <c r="A101"/>
      <c r="B101" s="80"/>
      <c r="C101"/>
      <c r="D101"/>
      <c r="E101"/>
      <c r="F101"/>
      <c r="G101" s="54"/>
      <c r="H101" s="9"/>
    </row>
    <row r="102" spans="1:19" s="153" customFormat="1" ht="12.75">
      <c r="A102" s="43"/>
      <c r="B102" s="43" t="s">
        <v>254</v>
      </c>
      <c r="C102" s="32" t="s">
        <v>311</v>
      </c>
      <c r="D102" s="43"/>
      <c r="E102" s="43"/>
      <c r="F102" s="43"/>
      <c r="G102" s="43"/>
      <c r="H102" s="43"/>
      <c r="I102" s="43"/>
      <c r="J102" s="43"/>
      <c r="K102" s="151"/>
      <c r="L102" s="43"/>
      <c r="M102" s="43"/>
      <c r="N102" s="43"/>
      <c r="O102" s="43"/>
      <c r="P102" s="43"/>
      <c r="Q102" s="43"/>
      <c r="R102" s="43"/>
      <c r="S102" s="152"/>
    </row>
    <row r="103" spans="1:18" s="150" customFormat="1" ht="12.75">
      <c r="A103" s="43"/>
      <c r="B103" s="43" t="s">
        <v>290</v>
      </c>
      <c r="C103" s="43" t="s">
        <v>291</v>
      </c>
      <c r="E103" s="43"/>
      <c r="F103" s="43"/>
      <c r="G103" s="43"/>
      <c r="H103" s="43"/>
      <c r="I103" s="43"/>
      <c r="J103" s="43"/>
      <c r="K103" s="151"/>
      <c r="L103" s="43"/>
      <c r="M103" s="43"/>
      <c r="N103" s="43"/>
      <c r="O103" s="43"/>
      <c r="P103" s="43"/>
      <c r="Q103" s="43"/>
      <c r="R103" s="43"/>
    </row>
    <row r="104" spans="1:17" s="150" customFormat="1" ht="12.75">
      <c r="A104" s="43"/>
      <c r="B104" s="156"/>
      <c r="C104" s="156" t="s">
        <v>281</v>
      </c>
      <c r="D104" s="157"/>
      <c r="E104" s="156"/>
      <c r="F104" s="156"/>
      <c r="G104" s="156"/>
      <c r="H104" s="156"/>
      <c r="I104" s="156"/>
      <c r="J104" s="156"/>
      <c r="K104" s="151"/>
      <c r="L104" s="43"/>
      <c r="M104" s="43"/>
      <c r="N104" s="43"/>
      <c r="O104" s="43"/>
      <c r="P104" s="43"/>
      <c r="Q104" s="43"/>
    </row>
    <row r="105" spans="1:17" s="150" customFormat="1" ht="12.75">
      <c r="A105" s="43"/>
      <c r="B105" s="227"/>
      <c r="C105" s="43" t="s">
        <v>258</v>
      </c>
      <c r="E105" s="43"/>
      <c r="F105" s="43"/>
      <c r="G105" s="43"/>
      <c r="H105" s="43"/>
      <c r="I105" s="43"/>
      <c r="J105" s="43"/>
      <c r="K105" s="151"/>
      <c r="L105" s="43"/>
      <c r="M105" s="43"/>
      <c r="N105" s="43"/>
      <c r="O105" s="43"/>
      <c r="P105" s="43"/>
      <c r="Q105" s="43"/>
    </row>
    <row r="106" spans="1:17" s="150" customFormat="1" ht="12.75">
      <c r="A106" s="43"/>
      <c r="B106" s="251"/>
      <c r="C106" s="43" t="s">
        <v>285</v>
      </c>
      <c r="D106" s="43"/>
      <c r="E106" s="43"/>
      <c r="F106" s="43"/>
      <c r="G106" s="43"/>
      <c r="H106" s="43"/>
      <c r="I106" s="43"/>
      <c r="J106" s="43"/>
      <c r="K106" s="43"/>
      <c r="L106" s="43"/>
      <c r="M106" s="43"/>
      <c r="N106" s="43"/>
      <c r="O106" s="43"/>
      <c r="P106" s="43"/>
      <c r="Q106" s="43"/>
    </row>
    <row r="107" spans="1:17" s="150" customFormat="1" ht="12.75">
      <c r="A107" s="43"/>
      <c r="B107" s="228"/>
      <c r="C107" s="43" t="s">
        <v>286</v>
      </c>
      <c r="D107" s="43"/>
      <c r="E107" s="43"/>
      <c r="F107" s="43"/>
      <c r="G107" s="43"/>
      <c r="H107" s="43"/>
      <c r="I107" s="43"/>
      <c r="J107" s="43"/>
      <c r="K107" s="43"/>
      <c r="L107" s="43"/>
      <c r="M107" s="43"/>
      <c r="N107" s="43"/>
      <c r="O107" s="43"/>
      <c r="P107" s="43"/>
      <c r="Q107" s="43"/>
    </row>
    <row r="108" spans="2:17" s="5" customFormat="1" ht="12.75">
      <c r="B108" s="252"/>
      <c r="C108" s="43" t="s">
        <v>288</v>
      </c>
      <c r="L108" s="16"/>
      <c r="Q108"/>
    </row>
    <row r="109" spans="1:8" s="10" customFormat="1" ht="12.75">
      <c r="A109"/>
      <c r="B109" s="80"/>
      <c r="C109"/>
      <c r="D109"/>
      <c r="E109"/>
      <c r="F109"/>
      <c r="G109" s="54"/>
      <c r="H109" s="9"/>
    </row>
    <row r="110" spans="1:8" s="10" customFormat="1" ht="12.75">
      <c r="A110"/>
      <c r="B110" s="80"/>
      <c r="C110"/>
      <c r="D110"/>
      <c r="E110"/>
      <c r="F110"/>
      <c r="G110" s="54"/>
      <c r="H110" s="9"/>
    </row>
    <row r="111" spans="1:8" s="10" customFormat="1" ht="12.75">
      <c r="A111"/>
      <c r="B111" s="80"/>
      <c r="C111"/>
      <c r="D111"/>
      <c r="E111"/>
      <c r="F111"/>
      <c r="G111" s="54"/>
      <c r="H111" s="9"/>
    </row>
    <row r="112" spans="1:8" s="10" customFormat="1" ht="12.75">
      <c r="A112"/>
      <c r="B112" s="80"/>
      <c r="C112"/>
      <c r="D112"/>
      <c r="E112"/>
      <c r="F112"/>
      <c r="G112" s="54"/>
      <c r="H112" s="9"/>
    </row>
    <row r="113" spans="1:8" s="10" customFormat="1" ht="12.75">
      <c r="A113"/>
      <c r="B113" s="80"/>
      <c r="C113"/>
      <c r="D113"/>
      <c r="E113"/>
      <c r="F113"/>
      <c r="G113" s="54"/>
      <c r="H113" s="9"/>
    </row>
    <row r="114" spans="1:8" s="10" customFormat="1" ht="12.75">
      <c r="A114"/>
      <c r="B114" s="80"/>
      <c r="C114"/>
      <c r="D114"/>
      <c r="E114"/>
      <c r="F114"/>
      <c r="G114" s="54"/>
      <c r="H114" s="9"/>
    </row>
    <row r="115" spans="1:8" s="10" customFormat="1" ht="12.75">
      <c r="A115"/>
      <c r="B115" s="80"/>
      <c r="C115"/>
      <c r="D115"/>
      <c r="E115"/>
      <c r="F115"/>
      <c r="G115" s="54"/>
      <c r="H115" s="9"/>
    </row>
    <row r="116" spans="1:8" s="10" customFormat="1" ht="12.75">
      <c r="A116"/>
      <c r="B116" s="80"/>
      <c r="C116"/>
      <c r="D116"/>
      <c r="E116"/>
      <c r="F116"/>
      <c r="G116" s="54"/>
      <c r="H116" s="9"/>
    </row>
    <row r="117" spans="1:8" s="11" customFormat="1" ht="12.75">
      <c r="A117"/>
      <c r="B117" s="80"/>
      <c r="C117"/>
      <c r="D117"/>
      <c r="E117"/>
      <c r="F117"/>
      <c r="G117" s="54"/>
      <c r="H117" s="9"/>
    </row>
    <row r="118" spans="1:8" s="10" customFormat="1" ht="12.75">
      <c r="A118"/>
      <c r="B118" s="80"/>
      <c r="C118"/>
      <c r="D118"/>
      <c r="E118"/>
      <c r="F118"/>
      <c r="G118" s="54"/>
      <c r="H118" s="9"/>
    </row>
    <row r="119" spans="1:8" s="10" customFormat="1" ht="12.75">
      <c r="A119"/>
      <c r="B119" s="80"/>
      <c r="C119"/>
      <c r="D119"/>
      <c r="E119"/>
      <c r="F119"/>
      <c r="G119" s="54"/>
      <c r="H119" s="9"/>
    </row>
    <row r="120" spans="1:8" s="55" customFormat="1" ht="12.75">
      <c r="A120"/>
      <c r="B120" s="80"/>
      <c r="C120"/>
      <c r="D120"/>
      <c r="E120"/>
      <c r="F120"/>
      <c r="G120" s="54"/>
      <c r="H120" s="54"/>
    </row>
    <row r="121" spans="1:8" s="11" customFormat="1" ht="12.75">
      <c r="A121"/>
      <c r="B121" s="80"/>
      <c r="C121"/>
      <c r="D121"/>
      <c r="E121"/>
      <c r="F121"/>
      <c r="G121" s="54"/>
      <c r="H121" s="13"/>
    </row>
    <row r="122" spans="1:8" s="10" customFormat="1" ht="12.75">
      <c r="A122"/>
      <c r="B122" s="80"/>
      <c r="C122"/>
      <c r="D122"/>
      <c r="E122"/>
      <c r="F122"/>
      <c r="G122" s="54"/>
      <c r="H122" s="9"/>
    </row>
    <row r="123" spans="1:8" s="10" customFormat="1" ht="12.75">
      <c r="A123"/>
      <c r="B123" s="80"/>
      <c r="C123"/>
      <c r="D123"/>
      <c r="E123"/>
      <c r="F123"/>
      <c r="G123" s="54"/>
      <c r="H123" s="9"/>
    </row>
    <row r="124" spans="1:8" s="11" customFormat="1" ht="12.75">
      <c r="A124"/>
      <c r="B124" s="80"/>
      <c r="C124"/>
      <c r="D124"/>
      <c r="E124"/>
      <c r="F124"/>
      <c r="G124" s="54"/>
      <c r="H124" s="13"/>
    </row>
    <row r="125" spans="1:8" s="10" customFormat="1" ht="12.75">
      <c r="A125"/>
      <c r="B125" s="80"/>
      <c r="C125"/>
      <c r="D125"/>
      <c r="E125"/>
      <c r="F125"/>
      <c r="G125" s="54"/>
      <c r="H125" s="9"/>
    </row>
    <row r="126" spans="1:8" s="10" customFormat="1" ht="12.75">
      <c r="A126"/>
      <c r="B126" s="80"/>
      <c r="C126"/>
      <c r="D126"/>
      <c r="E126"/>
      <c r="F126"/>
      <c r="G126" s="54"/>
      <c r="H126" s="9"/>
    </row>
    <row r="127" spans="1:8" s="10" customFormat="1" ht="12.75">
      <c r="A127"/>
      <c r="B127" s="80"/>
      <c r="C127"/>
      <c r="D127"/>
      <c r="E127"/>
      <c r="F127"/>
      <c r="G127" s="54"/>
      <c r="H127" s="9"/>
    </row>
    <row r="128" spans="1:8" s="10" customFormat="1" ht="12.75">
      <c r="A128"/>
      <c r="B128" s="80"/>
      <c r="C128"/>
      <c r="D128"/>
      <c r="E128"/>
      <c r="F128"/>
      <c r="G128" s="54"/>
      <c r="H128" s="9"/>
    </row>
    <row r="129" spans="1:8" s="11" customFormat="1" ht="12.75">
      <c r="A129"/>
      <c r="B129" s="80"/>
      <c r="C129"/>
      <c r="D129"/>
      <c r="E129"/>
      <c r="F129"/>
      <c r="G129" s="54"/>
      <c r="H129" s="13"/>
    </row>
    <row r="130" spans="1:8" s="10" customFormat="1" ht="12.75">
      <c r="A130"/>
      <c r="B130" s="80"/>
      <c r="C130"/>
      <c r="D130"/>
      <c r="E130"/>
      <c r="F130"/>
      <c r="G130" s="54"/>
      <c r="H130" s="9"/>
    </row>
    <row r="131" spans="1:8" s="10" customFormat="1" ht="12.75">
      <c r="A131"/>
      <c r="B131" s="80"/>
      <c r="C131"/>
      <c r="D131"/>
      <c r="E131"/>
      <c r="F131"/>
      <c r="G131" s="54"/>
      <c r="H131" s="9"/>
    </row>
    <row r="132" spans="1:8" s="10" customFormat="1" ht="12.75">
      <c r="A132"/>
      <c r="B132" s="80"/>
      <c r="C132"/>
      <c r="D132"/>
      <c r="E132"/>
      <c r="F132"/>
      <c r="G132" s="54"/>
      <c r="H132" s="9"/>
    </row>
    <row r="133" spans="1:8" s="10" customFormat="1" ht="12.75">
      <c r="A133"/>
      <c r="B133" s="80"/>
      <c r="C133"/>
      <c r="D133"/>
      <c r="E133"/>
      <c r="F133"/>
      <c r="G133" s="54"/>
      <c r="H133" s="9"/>
    </row>
    <row r="134" spans="1:8" s="10" customFormat="1" ht="12.75">
      <c r="A134"/>
      <c r="B134" s="80"/>
      <c r="C134"/>
      <c r="D134"/>
      <c r="E134"/>
      <c r="F134"/>
      <c r="G134" s="54"/>
      <c r="H134" s="9"/>
    </row>
    <row r="135" spans="1:8" s="10" customFormat="1" ht="12.75">
      <c r="A135"/>
      <c r="B135" s="80"/>
      <c r="C135"/>
      <c r="D135"/>
      <c r="E135"/>
      <c r="F135"/>
      <c r="G135" s="54"/>
      <c r="H135" s="9"/>
    </row>
    <row r="136" spans="1:8" s="11" customFormat="1" ht="12.75">
      <c r="A136"/>
      <c r="B136" s="80"/>
      <c r="C136"/>
      <c r="D136"/>
      <c r="E136"/>
      <c r="F136"/>
      <c r="G136" s="54"/>
      <c r="H136" s="13"/>
    </row>
    <row r="137" spans="1:8" s="10" customFormat="1" ht="12.75">
      <c r="A137"/>
      <c r="B137" s="80"/>
      <c r="C137"/>
      <c r="D137"/>
      <c r="E137"/>
      <c r="F137"/>
      <c r="G137" s="54"/>
      <c r="H137" s="9"/>
    </row>
    <row r="138" spans="1:8" s="31" customFormat="1" ht="12.75">
      <c r="A138"/>
      <c r="B138" s="80"/>
      <c r="C138"/>
      <c r="D138"/>
      <c r="E138"/>
      <c r="F138"/>
      <c r="G138" s="54"/>
      <c r="H138" s="9"/>
    </row>
    <row r="139" spans="1:8" s="11" customFormat="1" ht="12.75">
      <c r="A139"/>
      <c r="B139" s="80"/>
      <c r="C139"/>
      <c r="D139"/>
      <c r="E139"/>
      <c r="F139"/>
      <c r="G139" s="54"/>
      <c r="H139" s="9"/>
    </row>
    <row r="140" spans="2:8" s="11" customFormat="1" ht="28.5" customHeight="1">
      <c r="B140" s="12"/>
      <c r="G140" s="54"/>
      <c r="H140" s="9"/>
    </row>
    <row r="141" spans="2:6" ht="12.75">
      <c r="B141" s="80"/>
      <c r="C141"/>
      <c r="D141"/>
      <c r="E141"/>
      <c r="F141"/>
    </row>
    <row r="142" spans="3:6" ht="12.75">
      <c r="C142"/>
      <c r="D142"/>
      <c r="E142"/>
      <c r="F142"/>
    </row>
    <row r="143" spans="3:6" ht="12.75">
      <c r="C143"/>
      <c r="D143"/>
      <c r="E143"/>
      <c r="F143"/>
    </row>
    <row r="144" spans="3:6" ht="12.75">
      <c r="C144"/>
      <c r="D144"/>
      <c r="E144"/>
      <c r="F144"/>
    </row>
    <row r="145" spans="3:6" ht="12.75">
      <c r="C145"/>
      <c r="D145"/>
      <c r="E145"/>
      <c r="F145"/>
    </row>
    <row r="146" spans="3:6" ht="12.75">
      <c r="C146"/>
      <c r="D146"/>
      <c r="E146"/>
      <c r="F146"/>
    </row>
    <row r="147" spans="3:6" ht="12.75">
      <c r="C147"/>
      <c r="D147"/>
      <c r="E147"/>
      <c r="F147"/>
    </row>
    <row r="148" spans="3:6" ht="12.75">
      <c r="C148"/>
      <c r="D148"/>
      <c r="E148"/>
      <c r="F148"/>
    </row>
    <row r="149" spans="3:6" ht="12.75">
      <c r="C149"/>
      <c r="D149"/>
      <c r="E149"/>
      <c r="F149"/>
    </row>
    <row r="150" spans="3:6" ht="12.75">
      <c r="C150"/>
      <c r="D150"/>
      <c r="E150"/>
      <c r="F150"/>
    </row>
    <row r="151" spans="3:6" ht="12.75">
      <c r="C151"/>
      <c r="D151"/>
      <c r="E151"/>
      <c r="F151"/>
    </row>
    <row r="152" spans="3:6" ht="12.75">
      <c r="C152"/>
      <c r="D152"/>
      <c r="E152"/>
      <c r="F152"/>
    </row>
    <row r="153" spans="3:6" ht="12.75">
      <c r="C153"/>
      <c r="D153"/>
      <c r="E153"/>
      <c r="F153"/>
    </row>
    <row r="154" spans="3:6" ht="12.75">
      <c r="C154"/>
      <c r="D154"/>
      <c r="E154"/>
      <c r="F154"/>
    </row>
    <row r="155" spans="3:6" ht="12.75">
      <c r="C155"/>
      <c r="D155"/>
      <c r="E155"/>
      <c r="F155"/>
    </row>
    <row r="156" spans="3:6" ht="12.75">
      <c r="C156"/>
      <c r="D156"/>
      <c r="E156"/>
      <c r="F156"/>
    </row>
    <row r="157" spans="3:6" ht="12.75">
      <c r="C157"/>
      <c r="D157"/>
      <c r="E157"/>
      <c r="F157"/>
    </row>
    <row r="158" spans="3:6" ht="12.75">
      <c r="C158"/>
      <c r="D158"/>
      <c r="E158"/>
      <c r="F158"/>
    </row>
    <row r="159" spans="3:6" ht="12.75">
      <c r="C159"/>
      <c r="D159"/>
      <c r="E159"/>
      <c r="F159"/>
    </row>
    <row r="160" spans="3:6" ht="12.75">
      <c r="C160"/>
      <c r="D160"/>
      <c r="E160"/>
      <c r="F160"/>
    </row>
    <row r="161" spans="3:6" ht="12.75">
      <c r="C161"/>
      <c r="D161"/>
      <c r="E161"/>
      <c r="F161"/>
    </row>
    <row r="162" spans="3:6" ht="12.75">
      <c r="C162"/>
      <c r="D162"/>
      <c r="E162"/>
      <c r="F162"/>
    </row>
    <row r="163" spans="3:6" ht="12.75">
      <c r="C163"/>
      <c r="D163"/>
      <c r="E163"/>
      <c r="F163"/>
    </row>
    <row r="164" spans="3:6" ht="12.75">
      <c r="C164"/>
      <c r="D164"/>
      <c r="E164"/>
      <c r="F164"/>
    </row>
    <row r="165" spans="3:6" ht="12.75">
      <c r="C165"/>
      <c r="D165"/>
      <c r="E165"/>
      <c r="F165"/>
    </row>
    <row r="166" spans="3:6" ht="12.75">
      <c r="C166"/>
      <c r="D166"/>
      <c r="E166"/>
      <c r="F166"/>
    </row>
    <row r="167" spans="3:6" ht="12.75">
      <c r="C167"/>
      <c r="D167"/>
      <c r="E167"/>
      <c r="F167"/>
    </row>
    <row r="168" spans="3:6" ht="12.75">
      <c r="C168"/>
      <c r="D168"/>
      <c r="E168"/>
      <c r="F168"/>
    </row>
    <row r="169" spans="3:6" ht="12.75">
      <c r="C169"/>
      <c r="D169"/>
      <c r="E169"/>
      <c r="F169"/>
    </row>
    <row r="170" spans="3:6" ht="12.75">
      <c r="C170"/>
      <c r="D170"/>
      <c r="E170"/>
      <c r="F170"/>
    </row>
    <row r="171" spans="3:6" ht="12.75">
      <c r="C171"/>
      <c r="D171"/>
      <c r="E171"/>
      <c r="F171"/>
    </row>
    <row r="172" spans="3:6" ht="12.75">
      <c r="C172"/>
      <c r="D172"/>
      <c r="E172"/>
      <c r="F172"/>
    </row>
    <row r="173" spans="3:6" ht="12.75">
      <c r="C173"/>
      <c r="D173"/>
      <c r="E173"/>
      <c r="F173"/>
    </row>
    <row r="174" spans="3:6" ht="12.75">
      <c r="C174"/>
      <c r="D174"/>
      <c r="E174"/>
      <c r="F174"/>
    </row>
    <row r="175" spans="3:6" ht="12.75">
      <c r="C175"/>
      <c r="D175"/>
      <c r="E175"/>
      <c r="F175"/>
    </row>
    <row r="176" spans="3:6" ht="12.75">
      <c r="C176"/>
      <c r="D176"/>
      <c r="E176"/>
      <c r="F176"/>
    </row>
    <row r="177" spans="3:6" ht="12.75">
      <c r="C177"/>
      <c r="D177"/>
      <c r="E177"/>
      <c r="F177"/>
    </row>
    <row r="178" spans="3:6" ht="12.75">
      <c r="C178"/>
      <c r="D178"/>
      <c r="E178"/>
      <c r="F178"/>
    </row>
    <row r="179" spans="3:6" ht="12.75">
      <c r="C179"/>
      <c r="D179"/>
      <c r="E179"/>
      <c r="F179"/>
    </row>
    <row r="180" spans="3:6" ht="12.75">
      <c r="C180"/>
      <c r="D180"/>
      <c r="E180"/>
      <c r="F180"/>
    </row>
    <row r="181" spans="3:6" ht="12.75">
      <c r="C181"/>
      <c r="D181"/>
      <c r="E181"/>
      <c r="F181"/>
    </row>
    <row r="182" spans="3:6" ht="12.75">
      <c r="C182"/>
      <c r="D182"/>
      <c r="E182"/>
      <c r="F182"/>
    </row>
    <row r="183" spans="3:6" ht="12.75">
      <c r="C183"/>
      <c r="D183"/>
      <c r="E183"/>
      <c r="F183"/>
    </row>
    <row r="184" spans="3:6" ht="12.75">
      <c r="C184"/>
      <c r="D184"/>
      <c r="E184"/>
      <c r="F184"/>
    </row>
    <row r="185" spans="3:6" ht="12.75">
      <c r="C185"/>
      <c r="D185"/>
      <c r="E185"/>
      <c r="F185"/>
    </row>
    <row r="186" spans="3:6" ht="12.75">
      <c r="C186"/>
      <c r="D186"/>
      <c r="E186"/>
      <c r="F186"/>
    </row>
    <row r="187" spans="3:6" ht="12.75">
      <c r="C187"/>
      <c r="D187"/>
      <c r="E187"/>
      <c r="F187"/>
    </row>
    <row r="188" spans="3:6" ht="12.75">
      <c r="C188"/>
      <c r="D188"/>
      <c r="E188"/>
      <c r="F188"/>
    </row>
    <row r="189" spans="3:6" ht="12.75">
      <c r="C189"/>
      <c r="D189"/>
      <c r="E189"/>
      <c r="F189"/>
    </row>
    <row r="190" spans="3:6" ht="12.75">
      <c r="C190"/>
      <c r="D190"/>
      <c r="E190"/>
      <c r="F190"/>
    </row>
    <row r="191" spans="3:6" ht="12.75">
      <c r="C191"/>
      <c r="D191"/>
      <c r="E191"/>
      <c r="F191"/>
    </row>
    <row r="192" spans="3:6" ht="12.75">
      <c r="C192"/>
      <c r="D192"/>
      <c r="E192"/>
      <c r="F192"/>
    </row>
    <row r="193" spans="3:6" ht="12.75">
      <c r="C193"/>
      <c r="D193"/>
      <c r="E193"/>
      <c r="F193"/>
    </row>
    <row r="194" spans="3:6" ht="12.75">
      <c r="C194"/>
      <c r="D194"/>
      <c r="E194"/>
      <c r="F194"/>
    </row>
    <row r="195" spans="3:6" ht="12.75">
      <c r="C195"/>
      <c r="D195"/>
      <c r="E195"/>
      <c r="F195"/>
    </row>
    <row r="196" spans="3:6" ht="12.75">
      <c r="C196"/>
      <c r="D196"/>
      <c r="E196"/>
      <c r="F196"/>
    </row>
    <row r="197" spans="3:6" ht="12.75">
      <c r="C197"/>
      <c r="D197"/>
      <c r="E197"/>
      <c r="F197"/>
    </row>
    <row r="198" spans="3:6" ht="12.75">
      <c r="C198"/>
      <c r="D198"/>
      <c r="E198"/>
      <c r="F198"/>
    </row>
    <row r="199" spans="3:6" ht="12.75">
      <c r="C199"/>
      <c r="D199"/>
      <c r="E199"/>
      <c r="F199"/>
    </row>
    <row r="200" spans="3:6" ht="12.75">
      <c r="C200"/>
      <c r="D200"/>
      <c r="E200"/>
      <c r="F200"/>
    </row>
    <row r="201" spans="3:6" ht="12.75">
      <c r="C201"/>
      <c r="D201"/>
      <c r="E201"/>
      <c r="F201"/>
    </row>
    <row r="202" spans="3:6" ht="12.75">
      <c r="C202"/>
      <c r="D202"/>
      <c r="E202"/>
      <c r="F202"/>
    </row>
    <row r="203" spans="3:6" ht="12.75">
      <c r="C203"/>
      <c r="D203"/>
      <c r="E203"/>
      <c r="F203"/>
    </row>
    <row r="204" spans="3:6" ht="12.75">
      <c r="C204"/>
      <c r="D204"/>
      <c r="E204"/>
      <c r="F204"/>
    </row>
    <row r="205" spans="3:6" ht="12.75">
      <c r="C205"/>
      <c r="D205"/>
      <c r="E205"/>
      <c r="F205"/>
    </row>
    <row r="206" spans="3:6" ht="12.75">
      <c r="C206"/>
      <c r="D206"/>
      <c r="E206"/>
      <c r="F206"/>
    </row>
    <row r="207" spans="3:6" ht="12.75">
      <c r="C207"/>
      <c r="D207"/>
      <c r="E207"/>
      <c r="F207"/>
    </row>
    <row r="208" spans="3:6" ht="12.75">
      <c r="C208"/>
      <c r="D208"/>
      <c r="E208"/>
      <c r="F208"/>
    </row>
    <row r="209" spans="3:6" ht="12.75">
      <c r="C209"/>
      <c r="D209"/>
      <c r="E209"/>
      <c r="F209"/>
    </row>
    <row r="210" spans="3:6" ht="12.75">
      <c r="C210"/>
      <c r="D210"/>
      <c r="E210"/>
      <c r="F210"/>
    </row>
    <row r="211" spans="3:6" ht="12.75">
      <c r="C211"/>
      <c r="D211"/>
      <c r="E211"/>
      <c r="F211"/>
    </row>
    <row r="212" spans="3:6" ht="12.75">
      <c r="C212"/>
      <c r="D212"/>
      <c r="E212"/>
      <c r="F212"/>
    </row>
    <row r="213" spans="3:6" ht="12.75">
      <c r="C213"/>
      <c r="D213"/>
      <c r="E213"/>
      <c r="F213"/>
    </row>
    <row r="214" spans="3:6" ht="12.75">
      <c r="C214"/>
      <c r="D214"/>
      <c r="E214"/>
      <c r="F214"/>
    </row>
    <row r="215" spans="3:6" ht="12.75">
      <c r="C215"/>
      <c r="D215"/>
      <c r="E215"/>
      <c r="F215"/>
    </row>
    <row r="216" spans="3:6" ht="12.75">
      <c r="C216"/>
      <c r="D216"/>
      <c r="E216"/>
      <c r="F216"/>
    </row>
    <row r="217" spans="3:6" ht="12.75">
      <c r="C217"/>
      <c r="D217"/>
      <c r="E217"/>
      <c r="F217"/>
    </row>
    <row r="218" spans="3:6" ht="12.75">
      <c r="C218"/>
      <c r="D218"/>
      <c r="E218"/>
      <c r="F218"/>
    </row>
    <row r="219" spans="3:6" ht="12.75">
      <c r="C219"/>
      <c r="D219"/>
      <c r="E219"/>
      <c r="F219"/>
    </row>
    <row r="220" spans="3:6" ht="12.75">
      <c r="C220"/>
      <c r="D220"/>
      <c r="E220"/>
      <c r="F220"/>
    </row>
    <row r="221" spans="3:6" ht="12.75">
      <c r="C221"/>
      <c r="D221"/>
      <c r="E221"/>
      <c r="F221"/>
    </row>
    <row r="222" spans="3:6" ht="12.75">
      <c r="C222"/>
      <c r="D222"/>
      <c r="E222"/>
      <c r="F222"/>
    </row>
    <row r="223" spans="3:6" ht="12.75">
      <c r="C223"/>
      <c r="D223"/>
      <c r="E223"/>
      <c r="F223"/>
    </row>
    <row r="224" spans="3:6" ht="12.75">
      <c r="C224"/>
      <c r="D224"/>
      <c r="E224"/>
      <c r="F224"/>
    </row>
    <row r="225" spans="3:6" ht="12.75">
      <c r="C225"/>
      <c r="D225"/>
      <c r="E225"/>
      <c r="F225"/>
    </row>
    <row r="226" spans="3:6" ht="12.75">
      <c r="C226"/>
      <c r="D226"/>
      <c r="E226"/>
      <c r="F226"/>
    </row>
    <row r="227" spans="3:6" ht="12.75">
      <c r="C227"/>
      <c r="D227"/>
      <c r="E227"/>
      <c r="F227"/>
    </row>
    <row r="228" spans="3:6" ht="12.75">
      <c r="C228"/>
      <c r="D228"/>
      <c r="E228"/>
      <c r="F228"/>
    </row>
    <row r="229" spans="3:6" ht="12.75">
      <c r="C229"/>
      <c r="D229"/>
      <c r="E229"/>
      <c r="F229"/>
    </row>
    <row r="230" spans="3:6" ht="12.75">
      <c r="C230"/>
      <c r="D230"/>
      <c r="E230"/>
      <c r="F230"/>
    </row>
    <row r="231" spans="3:6" ht="12.75">
      <c r="C231"/>
      <c r="D231"/>
      <c r="E231"/>
      <c r="F231"/>
    </row>
    <row r="232" spans="3:6" ht="12.75">
      <c r="C232"/>
      <c r="D232"/>
      <c r="E232"/>
      <c r="F232"/>
    </row>
    <row r="233" spans="3:6" ht="12.75">
      <c r="C233"/>
      <c r="D233"/>
      <c r="E233"/>
      <c r="F233"/>
    </row>
    <row r="234" spans="3:6" ht="12.75">
      <c r="C234"/>
      <c r="D234"/>
      <c r="E234"/>
      <c r="F234"/>
    </row>
    <row r="235" spans="3:6" ht="12.75">
      <c r="C235"/>
      <c r="D235"/>
      <c r="E235"/>
      <c r="F235"/>
    </row>
    <row r="236" spans="3:6" ht="12.75">
      <c r="C236"/>
      <c r="D236"/>
      <c r="E236"/>
      <c r="F236"/>
    </row>
    <row r="237" spans="3:6" ht="12.75">
      <c r="C237"/>
      <c r="D237"/>
      <c r="E237"/>
      <c r="F237"/>
    </row>
    <row r="238" spans="3:6" ht="12.75">
      <c r="C238"/>
      <c r="D238"/>
      <c r="E238"/>
      <c r="F238"/>
    </row>
    <row r="239" spans="3:6" ht="12.75">
      <c r="C239"/>
      <c r="D239"/>
      <c r="E239"/>
      <c r="F239"/>
    </row>
    <row r="240" spans="3:6" ht="12.75">
      <c r="C240"/>
      <c r="D240"/>
      <c r="E240"/>
      <c r="F240"/>
    </row>
    <row r="241" spans="3:6" ht="12.75">
      <c r="C241"/>
      <c r="D241"/>
      <c r="E241"/>
      <c r="F241"/>
    </row>
    <row r="242" spans="3:6" ht="12.75">
      <c r="C242"/>
      <c r="D242"/>
      <c r="E242"/>
      <c r="F242"/>
    </row>
    <row r="243" spans="3:6" ht="12.75">
      <c r="C243"/>
      <c r="D243"/>
      <c r="E243"/>
      <c r="F243"/>
    </row>
    <row r="244" spans="3:6" ht="12.75">
      <c r="C244"/>
      <c r="D244"/>
      <c r="E244"/>
      <c r="F244"/>
    </row>
    <row r="245" spans="3:6" ht="12.75">
      <c r="C245"/>
      <c r="D245"/>
      <c r="E245"/>
      <c r="F245"/>
    </row>
    <row r="246" spans="3:6" ht="12.75">
      <c r="C246"/>
      <c r="D246"/>
      <c r="E246"/>
      <c r="F246"/>
    </row>
    <row r="247" spans="3:6" ht="12.75">
      <c r="C247"/>
      <c r="D247"/>
      <c r="E247"/>
      <c r="F247"/>
    </row>
    <row r="248" spans="3:6" ht="12.75">
      <c r="C248"/>
      <c r="D248"/>
      <c r="E248"/>
      <c r="F248"/>
    </row>
    <row r="249" spans="3:6" ht="12.75">
      <c r="C249"/>
      <c r="D249"/>
      <c r="E249"/>
      <c r="F249"/>
    </row>
    <row r="250" spans="3:6" ht="12.75">
      <c r="C250"/>
      <c r="D250"/>
      <c r="E250"/>
      <c r="F250"/>
    </row>
    <row r="251" spans="3:6" ht="12.75">
      <c r="C251"/>
      <c r="D251"/>
      <c r="E251"/>
      <c r="F251"/>
    </row>
    <row r="252" spans="3:6" ht="12.75">
      <c r="C252"/>
      <c r="D252"/>
      <c r="E252"/>
      <c r="F252"/>
    </row>
    <row r="253" spans="3:6" ht="12.75">
      <c r="C253"/>
      <c r="D253"/>
      <c r="E253"/>
      <c r="F253"/>
    </row>
    <row r="254" spans="3:6" ht="12.75">
      <c r="C254"/>
      <c r="D254"/>
      <c r="E254"/>
      <c r="F254"/>
    </row>
    <row r="255" spans="3:6" ht="12.75">
      <c r="C255"/>
      <c r="D255"/>
      <c r="E255"/>
      <c r="F255"/>
    </row>
    <row r="256" spans="3:6" ht="12.75">
      <c r="C256"/>
      <c r="D256"/>
      <c r="E256"/>
      <c r="F256"/>
    </row>
    <row r="257" spans="3:6" ht="12.75">
      <c r="C257"/>
      <c r="D257"/>
      <c r="E257"/>
      <c r="F257"/>
    </row>
    <row r="258" spans="3:6" ht="12.75">
      <c r="C258"/>
      <c r="D258"/>
      <c r="E258"/>
      <c r="F258"/>
    </row>
    <row r="259" spans="3:6" ht="12.75">
      <c r="C259"/>
      <c r="D259"/>
      <c r="E259"/>
      <c r="F259"/>
    </row>
    <row r="260" spans="3:6" ht="12.75">
      <c r="C260"/>
      <c r="D260"/>
      <c r="E260"/>
      <c r="F260"/>
    </row>
    <row r="261" spans="3:6" ht="12.75">
      <c r="C261"/>
      <c r="D261"/>
      <c r="E261"/>
      <c r="F261"/>
    </row>
    <row r="262" spans="3:6" ht="12.75">
      <c r="C262"/>
      <c r="D262"/>
      <c r="E262"/>
      <c r="F262"/>
    </row>
    <row r="263" spans="3:6" ht="12.75">
      <c r="C263"/>
      <c r="D263"/>
      <c r="E263"/>
      <c r="F263"/>
    </row>
    <row r="264" spans="3:6" ht="12.75">
      <c r="C264"/>
      <c r="D264"/>
      <c r="E264"/>
      <c r="F264"/>
    </row>
    <row r="265" spans="3:6" ht="12.75">
      <c r="C265"/>
      <c r="D265"/>
      <c r="E265"/>
      <c r="F265"/>
    </row>
    <row r="266" spans="3:6" ht="12.75">
      <c r="C266"/>
      <c r="D266"/>
      <c r="E266"/>
      <c r="F266"/>
    </row>
    <row r="267" spans="3:6" ht="12.75">
      <c r="C267"/>
      <c r="D267"/>
      <c r="E267"/>
      <c r="F267"/>
    </row>
    <row r="268" spans="3:6" ht="12.75">
      <c r="C268"/>
      <c r="D268"/>
      <c r="E268"/>
      <c r="F268"/>
    </row>
    <row r="269" spans="3:6" ht="12.75">
      <c r="C269"/>
      <c r="D269"/>
      <c r="E269"/>
      <c r="F269"/>
    </row>
    <row r="270" spans="3:6" ht="12.75">
      <c r="C270"/>
      <c r="D270"/>
      <c r="E270"/>
      <c r="F270"/>
    </row>
    <row r="271" spans="3:6" ht="12.75">
      <c r="C271"/>
      <c r="D271"/>
      <c r="E271"/>
      <c r="F271"/>
    </row>
    <row r="272" spans="3:6" ht="12.75">
      <c r="C272"/>
      <c r="D272"/>
      <c r="E272"/>
      <c r="F272"/>
    </row>
    <row r="273" spans="3:6" ht="12.75">
      <c r="C273"/>
      <c r="D273"/>
      <c r="E273"/>
      <c r="F273"/>
    </row>
    <row r="274" spans="3:6" ht="12.75">
      <c r="C274"/>
      <c r="D274"/>
      <c r="E274"/>
      <c r="F274"/>
    </row>
    <row r="275" spans="3:6" ht="12.75">
      <c r="C275"/>
      <c r="D275"/>
      <c r="E275"/>
      <c r="F275"/>
    </row>
    <row r="276" spans="3:6" ht="12.75">
      <c r="C276"/>
      <c r="D276"/>
      <c r="E276"/>
      <c r="F276"/>
    </row>
    <row r="277" spans="3:6" ht="12.75">
      <c r="C277"/>
      <c r="D277"/>
      <c r="E277"/>
      <c r="F277"/>
    </row>
    <row r="278" spans="3:6" ht="12.75">
      <c r="C278"/>
      <c r="D278"/>
      <c r="E278"/>
      <c r="F278"/>
    </row>
    <row r="279" spans="3:6" ht="12.75">
      <c r="C279"/>
      <c r="D279"/>
      <c r="E279"/>
      <c r="F279"/>
    </row>
    <row r="280" spans="3:6" ht="12.75">
      <c r="C280"/>
      <c r="D280"/>
      <c r="E280"/>
      <c r="F280"/>
    </row>
    <row r="281" spans="3:6" ht="12.75">
      <c r="C281"/>
      <c r="D281"/>
      <c r="E281"/>
      <c r="F281"/>
    </row>
    <row r="282" spans="3:6" ht="12.75">
      <c r="C282"/>
      <c r="D282"/>
      <c r="E282"/>
      <c r="F282"/>
    </row>
    <row r="283" spans="3:6" ht="12.75">
      <c r="C283"/>
      <c r="D283"/>
      <c r="E283"/>
      <c r="F283"/>
    </row>
    <row r="284" spans="3:6" ht="12.75">
      <c r="C284"/>
      <c r="D284"/>
      <c r="E284"/>
      <c r="F284"/>
    </row>
    <row r="285" spans="3:6" ht="12.75">
      <c r="C285"/>
      <c r="D285"/>
      <c r="E285"/>
      <c r="F285"/>
    </row>
    <row r="286" spans="3:6" ht="12.75">
      <c r="C286"/>
      <c r="D286"/>
      <c r="E286"/>
      <c r="F286"/>
    </row>
    <row r="287" spans="3:6" ht="12.75">
      <c r="C287"/>
      <c r="D287"/>
      <c r="E287"/>
      <c r="F287"/>
    </row>
    <row r="288" spans="3:6" ht="12.75">
      <c r="C288"/>
      <c r="D288"/>
      <c r="E288"/>
      <c r="F288"/>
    </row>
    <row r="289" spans="3:6" ht="12.75">
      <c r="C289"/>
      <c r="D289"/>
      <c r="E289"/>
      <c r="F289"/>
    </row>
    <row r="290" spans="3:6" ht="12.75">
      <c r="C290"/>
      <c r="D290"/>
      <c r="E290"/>
      <c r="F290"/>
    </row>
    <row r="291" spans="3:6" ht="12.75">
      <c r="C291"/>
      <c r="D291"/>
      <c r="E291"/>
      <c r="F291"/>
    </row>
    <row r="292" spans="3:6" ht="12.75">
      <c r="C292"/>
      <c r="D292"/>
      <c r="E292"/>
      <c r="F292"/>
    </row>
    <row r="293" spans="3:6" ht="12.75">
      <c r="C293"/>
      <c r="D293"/>
      <c r="E293"/>
      <c r="F293"/>
    </row>
    <row r="294" spans="3:6" ht="12.75">
      <c r="C294"/>
      <c r="D294"/>
      <c r="E294"/>
      <c r="F294"/>
    </row>
    <row r="295" spans="3:6" ht="12.75">
      <c r="C295"/>
      <c r="D295"/>
      <c r="E295"/>
      <c r="F295"/>
    </row>
    <row r="296" spans="3:6" ht="12.75">
      <c r="C296"/>
      <c r="D296"/>
      <c r="E296"/>
      <c r="F296"/>
    </row>
    <row r="297" spans="3:6" ht="12.75">
      <c r="C297"/>
      <c r="D297"/>
      <c r="E297"/>
      <c r="F297"/>
    </row>
    <row r="298" spans="3:6" ht="12.75">
      <c r="C298"/>
      <c r="D298"/>
      <c r="E298"/>
      <c r="F298"/>
    </row>
    <row r="299" spans="3:6" ht="12.75">
      <c r="C299"/>
      <c r="D299"/>
      <c r="E299"/>
      <c r="F299"/>
    </row>
    <row r="300" spans="3:6" ht="12.75">
      <c r="C300"/>
      <c r="D300"/>
      <c r="E300"/>
      <c r="F300"/>
    </row>
    <row r="301" spans="3:6" ht="12.75">
      <c r="C301"/>
      <c r="D301"/>
      <c r="E301"/>
      <c r="F301"/>
    </row>
    <row r="302" spans="3:6" ht="12.75">
      <c r="C302"/>
      <c r="D302"/>
      <c r="E302"/>
      <c r="F302"/>
    </row>
    <row r="303" spans="3:6" ht="12.75">
      <c r="C303"/>
      <c r="D303"/>
      <c r="E303"/>
      <c r="F303"/>
    </row>
    <row r="304" spans="3:6" ht="12.75">
      <c r="C304"/>
      <c r="D304"/>
      <c r="E304"/>
      <c r="F304"/>
    </row>
    <row r="305" spans="3:6" ht="12.75">
      <c r="C305"/>
      <c r="D305"/>
      <c r="E305"/>
      <c r="F305"/>
    </row>
    <row r="306" spans="3:6" ht="12.75">
      <c r="C306"/>
      <c r="D306"/>
      <c r="E306"/>
      <c r="F306"/>
    </row>
    <row r="307" spans="3:6" ht="12.75">
      <c r="C307"/>
      <c r="D307"/>
      <c r="E307"/>
      <c r="F307"/>
    </row>
    <row r="308" spans="3:6" ht="12.75">
      <c r="C308"/>
      <c r="D308"/>
      <c r="E308"/>
      <c r="F308"/>
    </row>
    <row r="309" spans="3:6" ht="12.75">
      <c r="C309"/>
      <c r="D309"/>
      <c r="E309"/>
      <c r="F309"/>
    </row>
    <row r="310" spans="3:6" ht="12.75">
      <c r="C310"/>
      <c r="D310"/>
      <c r="E310"/>
      <c r="F310"/>
    </row>
    <row r="311" spans="3:6" ht="12.75">
      <c r="C311"/>
      <c r="D311"/>
      <c r="E311"/>
      <c r="F311"/>
    </row>
    <row r="312" spans="3:6" ht="12.75">
      <c r="C312"/>
      <c r="D312"/>
      <c r="E312"/>
      <c r="F312"/>
    </row>
    <row r="313" spans="3:6" ht="12.75">
      <c r="C313"/>
      <c r="D313"/>
      <c r="E313"/>
      <c r="F313"/>
    </row>
    <row r="314" spans="3:6" ht="12.75">
      <c r="C314"/>
      <c r="D314"/>
      <c r="E314"/>
      <c r="F314"/>
    </row>
    <row r="315" spans="3:6" ht="12.75">
      <c r="C315"/>
      <c r="D315"/>
      <c r="E315"/>
      <c r="F315"/>
    </row>
    <row r="316" spans="3:6" ht="12.75">
      <c r="C316"/>
      <c r="D316"/>
      <c r="E316"/>
      <c r="F316"/>
    </row>
    <row r="317" spans="3:6" ht="12.75">
      <c r="C317"/>
      <c r="D317"/>
      <c r="E317"/>
      <c r="F317"/>
    </row>
    <row r="318" spans="3:6" ht="12.75">
      <c r="C318"/>
      <c r="D318"/>
      <c r="E318"/>
      <c r="F318"/>
    </row>
  </sheetData>
  <sheetProtection/>
  <mergeCells count="18">
    <mergeCell ref="A2:H2"/>
    <mergeCell ref="A3:H3"/>
    <mergeCell ref="A4:H4"/>
    <mergeCell ref="D8:E10"/>
    <mergeCell ref="G8:H10"/>
    <mergeCell ref="F8:F12"/>
    <mergeCell ref="G11:G12"/>
    <mergeCell ref="H11:H12"/>
    <mergeCell ref="F7:H7"/>
    <mergeCell ref="A36:B36"/>
    <mergeCell ref="D11:D12"/>
    <mergeCell ref="E11:E12"/>
    <mergeCell ref="A14:B14"/>
    <mergeCell ref="A15:B15"/>
    <mergeCell ref="C8:C12"/>
    <mergeCell ref="A13:B13"/>
    <mergeCell ref="A7:B12"/>
    <mergeCell ref="C7:E7"/>
  </mergeCells>
  <printOptions/>
  <pageMargins left="0.5" right="0.25" top="0.75"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H112"/>
  <sheetViews>
    <sheetView view="pageLayout" zoomScale="90" zoomScalePageLayoutView="90" workbookViewId="0" topLeftCell="A1">
      <selection activeCell="Q45" sqref="Q45"/>
    </sheetView>
  </sheetViews>
  <sheetFormatPr defaultColWidth="9.140625" defaultRowHeight="12.75"/>
  <cols>
    <col min="1" max="1" width="3.8515625" style="5" customWidth="1"/>
    <col min="2" max="2" width="9.8515625" style="5" customWidth="1"/>
    <col min="3" max="3" width="9.00390625" style="5" customWidth="1"/>
    <col min="4" max="4" width="10.7109375" style="5" customWidth="1"/>
    <col min="5" max="5" width="7.28125" style="5" customWidth="1"/>
    <col min="6" max="6" width="10.28125" style="5" customWidth="1"/>
    <col min="7" max="7" width="8.28125" style="5" customWidth="1"/>
    <col min="8" max="8" width="10.00390625" style="5" customWidth="1"/>
    <col min="9" max="9" width="10.421875" style="5" customWidth="1"/>
    <col min="10" max="10" width="8.421875" style="5" customWidth="1"/>
    <col min="11" max="11" width="8.8515625" style="5" customWidth="1"/>
    <col min="12" max="12" width="7.8515625" style="16" customWidth="1"/>
    <col min="13" max="13" width="8.57421875" style="5" customWidth="1"/>
    <col min="14" max="14" width="8.7109375" style="5" customWidth="1"/>
    <col min="15" max="15" width="8.57421875" style="5" customWidth="1"/>
    <col min="16" max="16" width="8.28125" style="5" customWidth="1"/>
    <col min="17" max="17" width="5.7109375" style="0" customWidth="1"/>
    <col min="18" max="16384" width="9.140625" style="5" customWidth="1"/>
  </cols>
  <sheetData>
    <row r="1" spans="1:16" ht="24" customHeight="1">
      <c r="A1" s="437" t="s">
        <v>7</v>
      </c>
      <c r="B1" s="437"/>
      <c r="C1" s="37"/>
      <c r="D1" s="37"/>
      <c r="E1" s="37"/>
      <c r="F1" s="37"/>
      <c r="G1" s="37"/>
      <c r="H1" s="37"/>
      <c r="I1" s="37"/>
      <c r="J1" s="37"/>
      <c r="K1" s="37"/>
      <c r="L1" s="38"/>
      <c r="M1" s="37"/>
      <c r="N1" s="37"/>
      <c r="O1" s="37"/>
      <c r="P1" s="37"/>
    </row>
    <row r="2" spans="1:16" ht="24.75" customHeight="1">
      <c r="A2" s="438" t="s">
        <v>18</v>
      </c>
      <c r="B2" s="438"/>
      <c r="C2" s="438"/>
      <c r="D2" s="438"/>
      <c r="E2" s="438"/>
      <c r="F2" s="438"/>
      <c r="G2" s="438"/>
      <c r="H2" s="438"/>
      <c r="I2" s="438"/>
      <c r="J2" s="438"/>
      <c r="K2" s="438"/>
      <c r="L2" s="438"/>
      <c r="M2" s="438"/>
      <c r="N2" s="438"/>
      <c r="O2" s="438"/>
      <c r="P2" s="438"/>
    </row>
    <row r="3" spans="1:17" s="81" customFormat="1" ht="24.75" customHeight="1">
      <c r="A3" s="446" t="s">
        <v>145</v>
      </c>
      <c r="B3" s="446"/>
      <c r="C3" s="446"/>
      <c r="D3" s="446"/>
      <c r="E3" s="446"/>
      <c r="F3" s="446"/>
      <c r="G3" s="446"/>
      <c r="H3" s="446"/>
      <c r="I3" s="446"/>
      <c r="J3" s="446"/>
      <c r="K3" s="446"/>
      <c r="L3" s="446"/>
      <c r="M3" s="446"/>
      <c r="N3" s="446"/>
      <c r="O3" s="446"/>
      <c r="P3" s="446"/>
      <c r="Q3" s="446"/>
    </row>
    <row r="4" spans="1:17" s="15" customFormat="1" ht="23.25" customHeight="1">
      <c r="A4" s="438" t="s">
        <v>298</v>
      </c>
      <c r="B4" s="438"/>
      <c r="C4" s="438"/>
      <c r="D4" s="438"/>
      <c r="E4" s="438"/>
      <c r="F4" s="438"/>
      <c r="G4" s="438"/>
      <c r="H4" s="438"/>
      <c r="I4" s="438"/>
      <c r="J4" s="438"/>
      <c r="K4" s="438"/>
      <c r="L4" s="438"/>
      <c r="M4" s="438"/>
      <c r="N4" s="438"/>
      <c r="O4" s="438"/>
      <c r="P4" s="438"/>
      <c r="Q4" s="438"/>
    </row>
    <row r="5" spans="1:216" s="15" customFormat="1" ht="16.5">
      <c r="A5" s="5"/>
      <c r="B5" s="5"/>
      <c r="C5" s="5"/>
      <c r="D5" s="5"/>
      <c r="E5" s="5"/>
      <c r="F5" s="5"/>
      <c r="G5" s="5"/>
      <c r="H5" s="5"/>
      <c r="I5" s="5"/>
      <c r="J5" s="5"/>
      <c r="K5" s="5"/>
      <c r="L5" s="16"/>
      <c r="M5" s="5"/>
      <c r="N5" s="5"/>
      <c r="O5" s="5"/>
      <c r="P5" s="5"/>
      <c r="Q5"/>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row>
    <row r="6" spans="1:17" ht="15" customHeight="1">
      <c r="A6" s="439"/>
      <c r="B6" s="440"/>
      <c r="C6" s="435" t="s">
        <v>14</v>
      </c>
      <c r="D6" s="435"/>
      <c r="E6" s="435"/>
      <c r="F6" s="435"/>
      <c r="G6" s="435"/>
      <c r="H6" s="435"/>
      <c r="I6" s="435"/>
      <c r="J6" s="435"/>
      <c r="K6" s="435"/>
      <c r="L6" s="435"/>
      <c r="M6" s="445" t="s">
        <v>130</v>
      </c>
      <c r="N6" s="445"/>
      <c r="O6" s="445"/>
      <c r="P6" s="445"/>
      <c r="Q6" s="445"/>
    </row>
    <row r="7" spans="1:17" s="57" customFormat="1" ht="12.75">
      <c r="A7" s="441"/>
      <c r="B7" s="442"/>
      <c r="C7" s="435" t="s">
        <v>59</v>
      </c>
      <c r="D7" s="435"/>
      <c r="E7" s="435"/>
      <c r="F7" s="435"/>
      <c r="G7" s="435"/>
      <c r="H7" s="435"/>
      <c r="I7" s="435" t="s">
        <v>46</v>
      </c>
      <c r="J7" s="451" t="s">
        <v>47</v>
      </c>
      <c r="K7" s="451"/>
      <c r="L7" s="451"/>
      <c r="M7" s="436" t="s">
        <v>131</v>
      </c>
      <c r="N7" s="436" t="s">
        <v>132</v>
      </c>
      <c r="O7" s="436" t="s">
        <v>48</v>
      </c>
      <c r="P7" s="436" t="s">
        <v>49</v>
      </c>
      <c r="Q7" s="448" t="s">
        <v>160</v>
      </c>
    </row>
    <row r="8" spans="1:17" s="57" customFormat="1" ht="25.5" customHeight="1">
      <c r="A8" s="441"/>
      <c r="B8" s="442"/>
      <c r="C8" s="434" t="s">
        <v>15</v>
      </c>
      <c r="D8" s="434"/>
      <c r="E8" s="434" t="s">
        <v>16</v>
      </c>
      <c r="F8" s="434"/>
      <c r="G8" s="434" t="s">
        <v>17</v>
      </c>
      <c r="H8" s="434"/>
      <c r="I8" s="436"/>
      <c r="J8" s="451"/>
      <c r="K8" s="451"/>
      <c r="L8" s="451"/>
      <c r="M8" s="436"/>
      <c r="N8" s="436"/>
      <c r="O8" s="436"/>
      <c r="P8" s="436"/>
      <c r="Q8" s="449"/>
    </row>
    <row r="9" spans="1:17" s="57" customFormat="1" ht="17.25" customHeight="1">
      <c r="A9" s="441"/>
      <c r="B9" s="442"/>
      <c r="C9" s="436" t="s">
        <v>50</v>
      </c>
      <c r="D9" s="436" t="s">
        <v>51</v>
      </c>
      <c r="E9" s="434" t="s">
        <v>52</v>
      </c>
      <c r="F9" s="434" t="s">
        <v>53</v>
      </c>
      <c r="G9" s="434" t="s">
        <v>52</v>
      </c>
      <c r="H9" s="434" t="s">
        <v>53</v>
      </c>
      <c r="I9" s="436"/>
      <c r="J9" s="434" t="s">
        <v>9</v>
      </c>
      <c r="K9" s="434" t="s">
        <v>44</v>
      </c>
      <c r="L9" s="434"/>
      <c r="M9" s="436"/>
      <c r="N9" s="436"/>
      <c r="O9" s="436"/>
      <c r="P9" s="436"/>
      <c r="Q9" s="449"/>
    </row>
    <row r="10" spans="1:19" s="57" customFormat="1" ht="65.25" customHeight="1">
      <c r="A10" s="443"/>
      <c r="B10" s="444"/>
      <c r="C10" s="436"/>
      <c r="D10" s="436"/>
      <c r="E10" s="434"/>
      <c r="F10" s="434"/>
      <c r="G10" s="434"/>
      <c r="H10" s="434"/>
      <c r="I10" s="436"/>
      <c r="J10" s="434"/>
      <c r="K10" s="49" t="s">
        <v>1</v>
      </c>
      <c r="L10" s="49" t="s">
        <v>0</v>
      </c>
      <c r="M10" s="436"/>
      <c r="N10" s="436"/>
      <c r="O10" s="436"/>
      <c r="P10" s="436"/>
      <c r="Q10" s="450"/>
      <c r="S10" s="276"/>
    </row>
    <row r="11" spans="1:17" s="57" customFormat="1" ht="12.75">
      <c r="A11" s="434" t="s">
        <v>40</v>
      </c>
      <c r="B11" s="434"/>
      <c r="C11" s="65">
        <v>1</v>
      </c>
      <c r="D11" s="65">
        <v>2</v>
      </c>
      <c r="E11" s="65">
        <v>3</v>
      </c>
      <c r="F11" s="65">
        <v>4</v>
      </c>
      <c r="G11" s="65">
        <v>5</v>
      </c>
      <c r="H11" s="65">
        <v>6</v>
      </c>
      <c r="I11" s="65">
        <v>7</v>
      </c>
      <c r="J11" s="65">
        <v>8</v>
      </c>
      <c r="K11" s="65">
        <v>9</v>
      </c>
      <c r="L11" s="65">
        <v>10</v>
      </c>
      <c r="M11" s="65">
        <v>11</v>
      </c>
      <c r="N11" s="65">
        <v>12</v>
      </c>
      <c r="O11" s="65">
        <v>13</v>
      </c>
      <c r="P11" s="65">
        <v>14</v>
      </c>
      <c r="Q11" s="65">
        <v>15</v>
      </c>
    </row>
    <row r="12" spans="1:17" s="250" customFormat="1" ht="27" customHeight="1">
      <c r="A12" s="447" t="s">
        <v>97</v>
      </c>
      <c r="B12" s="447"/>
      <c r="C12" s="249">
        <f>C13+C34</f>
        <v>749210</v>
      </c>
      <c r="D12" s="249">
        <f aca="true" t="shared" si="0" ref="D12:P12">D13+D34</f>
        <v>74074249</v>
      </c>
      <c r="E12" s="249">
        <f t="shared" si="0"/>
        <v>61430</v>
      </c>
      <c r="F12" s="249">
        <f t="shared" si="0"/>
        <v>1428121</v>
      </c>
      <c r="G12" s="249">
        <f t="shared" si="0"/>
        <v>56271</v>
      </c>
      <c r="H12" s="249">
        <f t="shared" si="0"/>
        <v>8616472</v>
      </c>
      <c r="I12" s="249">
        <f t="shared" si="0"/>
        <v>39295736</v>
      </c>
      <c r="J12" s="249">
        <f t="shared" si="0"/>
        <v>127971</v>
      </c>
      <c r="K12" s="249">
        <f t="shared" si="0"/>
        <v>107406</v>
      </c>
      <c r="L12" s="249">
        <f t="shared" si="0"/>
        <v>22401</v>
      </c>
      <c r="M12" s="249">
        <f t="shared" si="0"/>
        <v>119945</v>
      </c>
      <c r="N12" s="249">
        <f t="shared" si="0"/>
        <v>627920</v>
      </c>
      <c r="O12" s="249">
        <f t="shared" si="0"/>
        <v>181337</v>
      </c>
      <c r="P12" s="249">
        <f t="shared" si="0"/>
        <v>138401</v>
      </c>
      <c r="Q12" s="235">
        <f>P12/O12*100%</f>
        <v>0.7632253759574714</v>
      </c>
    </row>
    <row r="13" spans="1:21" s="57" customFormat="1" ht="37.5" customHeight="1">
      <c r="A13" s="383" t="s">
        <v>87</v>
      </c>
      <c r="B13" s="384"/>
      <c r="C13" s="134">
        <f>SUM(C14:C33)</f>
        <v>2770</v>
      </c>
      <c r="D13" s="134">
        <f aca="true" t="shared" si="1" ref="D13:L13">SUM(D14:D33)</f>
        <v>19425973</v>
      </c>
      <c r="E13" s="134">
        <f t="shared" si="1"/>
        <v>0</v>
      </c>
      <c r="F13" s="134">
        <f t="shared" si="1"/>
        <v>0</v>
      </c>
      <c r="G13" s="134">
        <f t="shared" si="1"/>
        <v>2666</v>
      </c>
      <c r="H13" s="134">
        <f t="shared" si="1"/>
        <v>2355278</v>
      </c>
      <c r="I13" s="134">
        <f t="shared" si="1"/>
        <v>4450817</v>
      </c>
      <c r="J13" s="134">
        <f t="shared" si="1"/>
        <v>55</v>
      </c>
      <c r="K13" s="134">
        <f t="shared" si="1"/>
        <v>0</v>
      </c>
      <c r="L13" s="134">
        <f t="shared" si="1"/>
        <v>168</v>
      </c>
      <c r="M13" s="109">
        <v>0</v>
      </c>
      <c r="N13" s="109">
        <v>0</v>
      </c>
      <c r="O13" s="109">
        <v>0</v>
      </c>
      <c r="P13" s="109">
        <v>0</v>
      </c>
      <c r="Q13" s="109">
        <v>0</v>
      </c>
      <c r="R13" s="199"/>
      <c r="S13" s="199"/>
      <c r="T13" s="199"/>
      <c r="U13" s="199"/>
    </row>
    <row r="14" spans="1:21" s="39" customFormat="1" ht="25.5">
      <c r="A14" s="158">
        <v>1</v>
      </c>
      <c r="B14" s="159" t="s">
        <v>229</v>
      </c>
      <c r="C14" s="88">
        <v>299</v>
      </c>
      <c r="D14" s="88">
        <v>23928</v>
      </c>
      <c r="E14" s="109"/>
      <c r="F14" s="109"/>
      <c r="G14" s="88">
        <v>148</v>
      </c>
      <c r="H14" s="88">
        <v>642843</v>
      </c>
      <c r="I14" s="88">
        <v>35418</v>
      </c>
      <c r="J14" s="221">
        <f>K14+L14</f>
        <v>55</v>
      </c>
      <c r="K14" s="88"/>
      <c r="L14" s="88">
        <v>55</v>
      </c>
      <c r="M14" s="109"/>
      <c r="N14" s="109"/>
      <c r="O14" s="109"/>
      <c r="P14" s="109"/>
      <c r="Q14" s="109"/>
      <c r="R14" s="200">
        <f>D14-C14</f>
        <v>23629</v>
      </c>
      <c r="S14" s="200">
        <f>F14-E14</f>
        <v>0</v>
      </c>
      <c r="T14" s="200">
        <f>H14-G14</f>
        <v>642695</v>
      </c>
      <c r="U14" s="200">
        <f>P14-O14</f>
        <v>0</v>
      </c>
    </row>
    <row r="15" spans="1:21" s="39" customFormat="1" ht="25.5">
      <c r="A15" s="158">
        <v>2</v>
      </c>
      <c r="B15" s="159" t="s">
        <v>193</v>
      </c>
      <c r="C15" s="88"/>
      <c r="D15" s="88"/>
      <c r="E15" s="109"/>
      <c r="F15" s="109"/>
      <c r="G15" s="88"/>
      <c r="H15" s="88"/>
      <c r="I15" s="88"/>
      <c r="J15" s="221"/>
      <c r="K15" s="88"/>
      <c r="L15" s="88"/>
      <c r="M15" s="109"/>
      <c r="N15" s="109"/>
      <c r="O15" s="109"/>
      <c r="P15" s="109"/>
      <c r="Q15" s="109"/>
      <c r="R15" s="200"/>
      <c r="S15" s="200"/>
      <c r="T15" s="200"/>
      <c r="U15" s="200"/>
    </row>
    <row r="16" spans="1:21" s="39" customFormat="1" ht="38.25">
      <c r="A16" s="158">
        <v>3</v>
      </c>
      <c r="B16" s="159" t="s">
        <v>194</v>
      </c>
      <c r="C16" s="88"/>
      <c r="D16" s="88"/>
      <c r="E16" s="109"/>
      <c r="F16" s="109"/>
      <c r="G16" s="88"/>
      <c r="H16" s="88"/>
      <c r="I16" s="88"/>
      <c r="J16" s="221"/>
      <c r="K16" s="88"/>
      <c r="L16" s="88"/>
      <c r="M16" s="109"/>
      <c r="N16" s="109"/>
      <c r="O16" s="109"/>
      <c r="P16" s="109"/>
      <c r="Q16" s="109"/>
      <c r="R16" s="200"/>
      <c r="S16" s="200"/>
      <c r="T16" s="200"/>
      <c r="U16" s="200"/>
    </row>
    <row r="17" spans="1:21" s="39" customFormat="1" ht="38.25">
      <c r="A17" s="158">
        <v>4</v>
      </c>
      <c r="B17" s="159" t="s">
        <v>195</v>
      </c>
      <c r="C17" s="88"/>
      <c r="D17" s="88"/>
      <c r="E17" s="109"/>
      <c r="F17" s="109"/>
      <c r="G17" s="88"/>
      <c r="H17" s="88"/>
      <c r="I17" s="88"/>
      <c r="J17" s="221"/>
      <c r="K17" s="88"/>
      <c r="L17" s="88"/>
      <c r="M17" s="109"/>
      <c r="N17" s="109"/>
      <c r="O17" s="109"/>
      <c r="P17" s="109"/>
      <c r="Q17" s="109"/>
      <c r="R17" s="200"/>
      <c r="S17" s="200"/>
      <c r="T17" s="200"/>
      <c r="U17" s="200"/>
    </row>
    <row r="18" spans="1:21" s="39" customFormat="1" ht="38.25">
      <c r="A18" s="158">
        <v>5</v>
      </c>
      <c r="B18" s="159" t="s">
        <v>196</v>
      </c>
      <c r="C18" s="88"/>
      <c r="D18" s="88"/>
      <c r="E18" s="109"/>
      <c r="F18" s="109"/>
      <c r="G18" s="88"/>
      <c r="H18" s="88"/>
      <c r="I18" s="88"/>
      <c r="J18" s="221"/>
      <c r="K18" s="88"/>
      <c r="L18" s="88">
        <v>50</v>
      </c>
      <c r="M18" s="109"/>
      <c r="N18" s="109"/>
      <c r="O18" s="109"/>
      <c r="P18" s="109"/>
      <c r="Q18" s="109"/>
      <c r="R18" s="200"/>
      <c r="S18" s="200"/>
      <c r="T18" s="200"/>
      <c r="U18" s="200"/>
    </row>
    <row r="19" spans="1:21" s="39" customFormat="1" ht="38.25">
      <c r="A19" s="158">
        <v>6</v>
      </c>
      <c r="B19" s="159" t="s">
        <v>197</v>
      </c>
      <c r="C19" s="88"/>
      <c r="D19" s="88"/>
      <c r="E19" s="109"/>
      <c r="F19" s="109"/>
      <c r="G19" s="88"/>
      <c r="H19" s="88"/>
      <c r="I19" s="88"/>
      <c r="J19" s="221"/>
      <c r="K19" s="88"/>
      <c r="L19" s="88"/>
      <c r="M19" s="109"/>
      <c r="N19" s="109"/>
      <c r="O19" s="109"/>
      <c r="P19" s="109"/>
      <c r="Q19" s="109"/>
      <c r="R19" s="200"/>
      <c r="S19" s="200"/>
      <c r="T19" s="200"/>
      <c r="U19" s="200"/>
    </row>
    <row r="20" spans="1:21" s="39" customFormat="1" ht="63.75">
      <c r="A20" s="158">
        <v>7</v>
      </c>
      <c r="B20" s="159" t="s">
        <v>198</v>
      </c>
      <c r="C20" s="88"/>
      <c r="D20" s="88"/>
      <c r="E20" s="109"/>
      <c r="F20" s="109"/>
      <c r="G20" s="88"/>
      <c r="H20" s="88"/>
      <c r="I20" s="88"/>
      <c r="J20" s="221"/>
      <c r="K20" s="88"/>
      <c r="L20" s="88"/>
      <c r="M20" s="109"/>
      <c r="N20" s="109"/>
      <c r="O20" s="109"/>
      <c r="P20" s="109"/>
      <c r="Q20" s="109"/>
      <c r="R20" s="200"/>
      <c r="S20" s="200"/>
      <c r="T20" s="200"/>
      <c r="U20" s="200"/>
    </row>
    <row r="21" spans="1:21" s="39" customFormat="1" ht="25.5">
      <c r="A21" s="158">
        <v>8</v>
      </c>
      <c r="B21" s="159" t="s">
        <v>199</v>
      </c>
      <c r="C21" s="88"/>
      <c r="D21" s="88"/>
      <c r="E21" s="109"/>
      <c r="F21" s="109"/>
      <c r="G21" s="88"/>
      <c r="H21" s="88"/>
      <c r="I21" s="88"/>
      <c r="J21" s="221"/>
      <c r="K21" s="88"/>
      <c r="L21" s="88"/>
      <c r="M21" s="109"/>
      <c r="N21" s="109"/>
      <c r="O21" s="109"/>
      <c r="P21" s="109"/>
      <c r="Q21" s="109"/>
      <c r="R21" s="200"/>
      <c r="S21" s="200"/>
      <c r="T21" s="200"/>
      <c r="U21" s="200"/>
    </row>
    <row r="22" spans="1:21" s="39" customFormat="1" ht="15.75">
      <c r="A22" s="158">
        <v>9</v>
      </c>
      <c r="B22" s="159" t="s">
        <v>200</v>
      </c>
      <c r="C22" s="88"/>
      <c r="D22" s="88"/>
      <c r="E22" s="109"/>
      <c r="F22" s="109"/>
      <c r="G22" s="88"/>
      <c r="H22" s="88"/>
      <c r="I22" s="88"/>
      <c r="J22" s="221"/>
      <c r="K22" s="88"/>
      <c r="L22" s="88"/>
      <c r="M22" s="109"/>
      <c r="N22" s="109"/>
      <c r="O22" s="109"/>
      <c r="P22" s="109"/>
      <c r="Q22" s="109"/>
      <c r="R22" s="200"/>
      <c r="S22" s="200"/>
      <c r="T22" s="200"/>
      <c r="U22" s="200"/>
    </row>
    <row r="23" spans="1:21" s="39" customFormat="1" ht="51">
      <c r="A23" s="158">
        <v>10</v>
      </c>
      <c r="B23" s="159" t="s">
        <v>201</v>
      </c>
      <c r="C23" s="88"/>
      <c r="D23" s="88"/>
      <c r="E23" s="109"/>
      <c r="F23" s="109"/>
      <c r="G23" s="88"/>
      <c r="H23" s="88"/>
      <c r="I23" s="88"/>
      <c r="J23" s="221"/>
      <c r="K23" s="88"/>
      <c r="L23" s="88"/>
      <c r="M23" s="109"/>
      <c r="N23" s="109"/>
      <c r="O23" s="109"/>
      <c r="P23" s="109"/>
      <c r="Q23" s="109"/>
      <c r="R23" s="200"/>
      <c r="S23" s="200"/>
      <c r="T23" s="200"/>
      <c r="U23" s="200"/>
    </row>
    <row r="24" spans="1:21" s="39" customFormat="1" ht="25.5">
      <c r="A24" s="158">
        <v>11</v>
      </c>
      <c r="B24" s="159" t="s">
        <v>230</v>
      </c>
      <c r="C24" s="88">
        <v>2471</v>
      </c>
      <c r="D24" s="139">
        <v>19402045</v>
      </c>
      <c r="E24" s="109"/>
      <c r="F24" s="109"/>
      <c r="G24" s="88">
        <v>2518</v>
      </c>
      <c r="H24" s="139">
        <v>1712435</v>
      </c>
      <c r="I24" s="139">
        <v>4415399</v>
      </c>
      <c r="J24" s="221"/>
      <c r="K24" s="88"/>
      <c r="L24" s="88">
        <v>63</v>
      </c>
      <c r="M24" s="109"/>
      <c r="N24" s="109"/>
      <c r="O24" s="109"/>
      <c r="P24" s="109"/>
      <c r="Q24" s="109"/>
      <c r="R24" s="200"/>
      <c r="S24" s="200"/>
      <c r="T24" s="200"/>
      <c r="U24" s="200"/>
    </row>
    <row r="25" spans="1:21" s="39" customFormat="1" ht="25.5">
      <c r="A25" s="158">
        <v>12</v>
      </c>
      <c r="B25" s="159" t="s">
        <v>185</v>
      </c>
      <c r="C25" s="88"/>
      <c r="D25" s="88"/>
      <c r="E25" s="109"/>
      <c r="F25" s="109"/>
      <c r="G25" s="88"/>
      <c r="H25" s="88"/>
      <c r="I25" s="88"/>
      <c r="J25" s="221"/>
      <c r="K25" s="88"/>
      <c r="L25" s="88"/>
      <c r="M25" s="109"/>
      <c r="N25" s="109"/>
      <c r="O25" s="109"/>
      <c r="P25" s="109"/>
      <c r="Q25" s="109"/>
      <c r="R25" s="200"/>
      <c r="S25" s="200"/>
      <c r="T25" s="200"/>
      <c r="U25" s="200"/>
    </row>
    <row r="26" spans="1:21" s="39" customFormat="1" ht="38.25">
      <c r="A26" s="158">
        <v>13</v>
      </c>
      <c r="B26" s="159" t="s">
        <v>186</v>
      </c>
      <c r="C26" s="88"/>
      <c r="D26" s="88"/>
      <c r="E26" s="109"/>
      <c r="F26" s="109"/>
      <c r="G26" s="88"/>
      <c r="H26" s="88"/>
      <c r="I26" s="88"/>
      <c r="J26" s="221"/>
      <c r="K26" s="88"/>
      <c r="L26" s="88"/>
      <c r="M26" s="109"/>
      <c r="N26" s="109"/>
      <c r="O26" s="109"/>
      <c r="P26" s="109"/>
      <c r="Q26" s="109"/>
      <c r="R26" s="200"/>
      <c r="S26" s="200"/>
      <c r="T26" s="200"/>
      <c r="U26" s="200"/>
    </row>
    <row r="27" spans="1:21" s="39" customFormat="1" ht="51">
      <c r="A27" s="158">
        <v>14</v>
      </c>
      <c r="B27" s="159" t="s">
        <v>187</v>
      </c>
      <c r="C27" s="88"/>
      <c r="D27" s="88"/>
      <c r="E27" s="109"/>
      <c r="F27" s="109"/>
      <c r="G27" s="88"/>
      <c r="H27" s="88"/>
      <c r="I27" s="88"/>
      <c r="J27" s="221"/>
      <c r="K27" s="88"/>
      <c r="L27" s="88"/>
      <c r="M27" s="109"/>
      <c r="N27" s="109"/>
      <c r="O27" s="109"/>
      <c r="P27" s="109"/>
      <c r="Q27" s="109"/>
      <c r="R27" s="200"/>
      <c r="S27" s="200"/>
      <c r="T27" s="200"/>
      <c r="U27" s="200"/>
    </row>
    <row r="28" spans="1:21" s="39" customFormat="1" ht="51">
      <c r="A28" s="158">
        <v>15</v>
      </c>
      <c r="B28" s="159" t="s">
        <v>188</v>
      </c>
      <c r="C28" s="88"/>
      <c r="D28" s="88"/>
      <c r="E28" s="109"/>
      <c r="F28" s="109"/>
      <c r="G28" s="88"/>
      <c r="H28" s="88"/>
      <c r="I28" s="88"/>
      <c r="J28" s="221"/>
      <c r="K28" s="88"/>
      <c r="L28" s="88"/>
      <c r="M28" s="109"/>
      <c r="N28" s="109"/>
      <c r="O28" s="109"/>
      <c r="P28" s="109"/>
      <c r="Q28" s="109"/>
      <c r="R28" s="200"/>
      <c r="S28" s="200"/>
      <c r="T28" s="200"/>
      <c r="U28" s="200"/>
    </row>
    <row r="29" spans="1:21" s="39" customFormat="1" ht="25.5">
      <c r="A29" s="158">
        <v>16</v>
      </c>
      <c r="B29" s="159" t="s">
        <v>189</v>
      </c>
      <c r="C29" s="88"/>
      <c r="D29" s="88"/>
      <c r="E29" s="109"/>
      <c r="F29" s="109"/>
      <c r="G29" s="88"/>
      <c r="H29" s="88"/>
      <c r="I29" s="88"/>
      <c r="J29" s="221"/>
      <c r="K29" s="88"/>
      <c r="L29" s="88"/>
      <c r="M29" s="109"/>
      <c r="N29" s="109"/>
      <c r="O29" s="109"/>
      <c r="P29" s="109"/>
      <c r="Q29" s="109"/>
      <c r="R29" s="200"/>
      <c r="S29" s="200"/>
      <c r="T29" s="200"/>
      <c r="U29" s="200"/>
    </row>
    <row r="30" spans="1:21" s="39" customFormat="1" ht="18" customHeight="1">
      <c r="A30" s="158">
        <v>17</v>
      </c>
      <c r="B30" s="159" t="s">
        <v>228</v>
      </c>
      <c r="C30" s="88"/>
      <c r="D30" s="88"/>
      <c r="E30" s="109"/>
      <c r="F30" s="109"/>
      <c r="G30" s="88"/>
      <c r="H30" s="88"/>
      <c r="I30" s="88"/>
      <c r="J30" s="221"/>
      <c r="K30" s="88"/>
      <c r="L30" s="88"/>
      <c r="M30" s="109"/>
      <c r="N30" s="109"/>
      <c r="O30" s="109"/>
      <c r="P30" s="109"/>
      <c r="Q30" s="109"/>
      <c r="R30" s="200"/>
      <c r="S30" s="200"/>
      <c r="T30" s="200"/>
      <c r="U30" s="200"/>
    </row>
    <row r="31" spans="1:21" s="39" customFormat="1" ht="38.25">
      <c r="A31" s="158">
        <v>18</v>
      </c>
      <c r="B31" s="160" t="s">
        <v>190</v>
      </c>
      <c r="C31" s="88"/>
      <c r="D31" s="88"/>
      <c r="E31" s="109"/>
      <c r="F31" s="109"/>
      <c r="G31" s="88"/>
      <c r="H31" s="88"/>
      <c r="I31" s="88"/>
      <c r="J31" s="221"/>
      <c r="K31" s="88"/>
      <c r="L31" s="88"/>
      <c r="M31" s="109"/>
      <c r="N31" s="109"/>
      <c r="O31" s="109"/>
      <c r="P31" s="109"/>
      <c r="Q31" s="109"/>
      <c r="R31" s="200"/>
      <c r="S31" s="200"/>
      <c r="T31" s="200"/>
      <c r="U31" s="200"/>
    </row>
    <row r="32" spans="1:21" s="39" customFormat="1" ht="25.5">
      <c r="A32" s="158">
        <v>19</v>
      </c>
      <c r="B32" s="160" t="s">
        <v>191</v>
      </c>
      <c r="C32" s="88"/>
      <c r="D32" s="88"/>
      <c r="E32" s="109"/>
      <c r="F32" s="109"/>
      <c r="G32" s="88"/>
      <c r="H32" s="88"/>
      <c r="I32" s="88"/>
      <c r="J32" s="221"/>
      <c r="K32" s="88"/>
      <c r="L32" s="88"/>
      <c r="M32" s="109"/>
      <c r="N32" s="109"/>
      <c r="O32" s="109"/>
      <c r="P32" s="109"/>
      <c r="Q32" s="109"/>
      <c r="R32" s="200"/>
      <c r="S32" s="200"/>
      <c r="T32" s="200"/>
      <c r="U32" s="200"/>
    </row>
    <row r="33" spans="1:21" s="39" customFormat="1" ht="25.5">
      <c r="A33" s="158">
        <v>20</v>
      </c>
      <c r="B33" s="160" t="s">
        <v>259</v>
      </c>
      <c r="C33" s="88"/>
      <c r="D33" s="88"/>
      <c r="E33" s="109"/>
      <c r="F33" s="109"/>
      <c r="G33" s="88"/>
      <c r="H33" s="88"/>
      <c r="I33" s="88"/>
      <c r="J33" s="221"/>
      <c r="K33" s="88"/>
      <c r="L33" s="88"/>
      <c r="M33" s="109"/>
      <c r="N33" s="109"/>
      <c r="O33" s="109"/>
      <c r="P33" s="109"/>
      <c r="Q33" s="109"/>
      <c r="R33" s="200"/>
      <c r="S33" s="200"/>
      <c r="T33" s="200"/>
      <c r="U33" s="200"/>
    </row>
    <row r="34" spans="1:17" s="236" customFormat="1" ht="29.25" customHeight="1">
      <c r="A34" s="432" t="s">
        <v>284</v>
      </c>
      <c r="B34" s="433"/>
      <c r="C34" s="234">
        <f aca="true" t="shared" si="2" ref="C34:P34">SUM(C35:C97)</f>
        <v>746440</v>
      </c>
      <c r="D34" s="234">
        <f t="shared" si="2"/>
        <v>54648276</v>
      </c>
      <c r="E34" s="234">
        <f t="shared" si="2"/>
        <v>61430</v>
      </c>
      <c r="F34" s="234">
        <f t="shared" si="2"/>
        <v>1428121</v>
      </c>
      <c r="G34" s="234">
        <f t="shared" si="2"/>
        <v>53605</v>
      </c>
      <c r="H34" s="234">
        <f t="shared" si="2"/>
        <v>6261194</v>
      </c>
      <c r="I34" s="192">
        <f t="shared" si="2"/>
        <v>34844919</v>
      </c>
      <c r="J34" s="234">
        <f t="shared" si="2"/>
        <v>127916</v>
      </c>
      <c r="K34" s="234">
        <f t="shared" si="2"/>
        <v>107406</v>
      </c>
      <c r="L34" s="234">
        <f t="shared" si="2"/>
        <v>22233</v>
      </c>
      <c r="M34" s="234">
        <f t="shared" si="2"/>
        <v>119945</v>
      </c>
      <c r="N34" s="234">
        <f t="shared" si="2"/>
        <v>627920</v>
      </c>
      <c r="O34" s="234">
        <f t="shared" si="2"/>
        <v>181337</v>
      </c>
      <c r="P34" s="234">
        <f t="shared" si="2"/>
        <v>138401</v>
      </c>
      <c r="Q34" s="235">
        <f>P34/O34*100%</f>
        <v>0.7632253759574714</v>
      </c>
    </row>
    <row r="35" spans="1:17" s="39" customFormat="1" ht="18" customHeight="1">
      <c r="A35" s="144">
        <v>1</v>
      </c>
      <c r="B35" s="145" t="s">
        <v>168</v>
      </c>
      <c r="C35" s="88">
        <v>26495</v>
      </c>
      <c r="D35" s="88">
        <v>993102</v>
      </c>
      <c r="E35" s="88">
        <v>540</v>
      </c>
      <c r="F35" s="88">
        <v>65738</v>
      </c>
      <c r="G35" s="88">
        <v>962</v>
      </c>
      <c r="H35" s="88">
        <v>69855</v>
      </c>
      <c r="I35" s="139">
        <v>1525008</v>
      </c>
      <c r="J35" s="221" t="s">
        <v>293</v>
      </c>
      <c r="K35" s="88">
        <v>1457</v>
      </c>
      <c r="L35" s="88">
        <f>130+136</f>
        <v>266</v>
      </c>
      <c r="M35" s="88">
        <v>913</v>
      </c>
      <c r="N35" s="88">
        <v>7831</v>
      </c>
      <c r="O35" s="88">
        <v>5903</v>
      </c>
      <c r="P35" s="88">
        <v>4765</v>
      </c>
      <c r="Q35" s="190">
        <f>P35/O35*100%</f>
        <v>0.8072166694900897</v>
      </c>
    </row>
    <row r="36" spans="1:17" s="39" customFormat="1" ht="26.25">
      <c r="A36" s="144">
        <v>2</v>
      </c>
      <c r="B36" s="145" t="s">
        <v>253</v>
      </c>
      <c r="C36" s="88">
        <v>2557</v>
      </c>
      <c r="D36" s="88">
        <v>243426</v>
      </c>
      <c r="E36" s="88">
        <v>216</v>
      </c>
      <c r="F36" s="88">
        <v>12122</v>
      </c>
      <c r="G36" s="88">
        <v>62</v>
      </c>
      <c r="H36" s="88"/>
      <c r="I36" s="88">
        <v>367517</v>
      </c>
      <c r="J36" s="221">
        <f aca="true" t="shared" si="3" ref="J36:J97">K36+L36</f>
        <v>800</v>
      </c>
      <c r="K36" s="88">
        <v>661</v>
      </c>
      <c r="L36" s="88">
        <f>125+14</f>
        <v>139</v>
      </c>
      <c r="M36" s="88">
        <v>667</v>
      </c>
      <c r="N36" s="88">
        <v>4046</v>
      </c>
      <c r="O36" s="88">
        <v>2396</v>
      </c>
      <c r="P36" s="88">
        <v>1355</v>
      </c>
      <c r="Q36" s="190">
        <f aca="true" t="shared" si="4" ref="Q36:Q97">P36/O36*100%</f>
        <v>0.5655258764607679</v>
      </c>
    </row>
    <row r="37" spans="1:17" s="39" customFormat="1" ht="18" customHeight="1">
      <c r="A37" s="144">
        <v>3</v>
      </c>
      <c r="B37" s="145" t="s">
        <v>169</v>
      </c>
      <c r="C37" s="88">
        <v>2629</v>
      </c>
      <c r="D37" s="88">
        <v>119139</v>
      </c>
      <c r="E37" s="299">
        <v>2019</v>
      </c>
      <c r="F37" s="88">
        <v>15416</v>
      </c>
      <c r="G37" s="88">
        <v>989</v>
      </c>
      <c r="H37" s="88">
        <v>5075</v>
      </c>
      <c r="I37" s="88">
        <v>115827</v>
      </c>
      <c r="J37" s="221">
        <f t="shared" si="3"/>
        <v>1773</v>
      </c>
      <c r="K37" s="88">
        <v>1566</v>
      </c>
      <c r="L37" s="88">
        <f>175+32</f>
        <v>207</v>
      </c>
      <c r="M37" s="88">
        <v>2529</v>
      </c>
      <c r="N37" s="88">
        <v>15090</v>
      </c>
      <c r="O37" s="88">
        <v>2499</v>
      </c>
      <c r="P37" s="88">
        <v>1918</v>
      </c>
      <c r="Q37" s="190">
        <f t="shared" si="4"/>
        <v>0.7675070028011205</v>
      </c>
    </row>
    <row r="38" spans="1:17" s="39" customFormat="1" ht="18" customHeight="1">
      <c r="A38" s="144">
        <v>4</v>
      </c>
      <c r="B38" s="145" t="s">
        <v>170</v>
      </c>
      <c r="C38" s="88">
        <v>3681</v>
      </c>
      <c r="D38" s="88">
        <v>146385</v>
      </c>
      <c r="E38" s="88">
        <v>631</v>
      </c>
      <c r="F38" s="88">
        <v>2158</v>
      </c>
      <c r="G38" s="88">
        <v>320</v>
      </c>
      <c r="H38" s="88">
        <v>8853</v>
      </c>
      <c r="I38" s="88">
        <v>19664</v>
      </c>
      <c r="J38" s="221">
        <f t="shared" si="3"/>
        <v>1859</v>
      </c>
      <c r="K38" s="88">
        <v>1327</v>
      </c>
      <c r="L38" s="88">
        <f>382+150</f>
        <v>532</v>
      </c>
      <c r="M38" s="88">
        <v>1423</v>
      </c>
      <c r="N38" s="88">
        <v>6732</v>
      </c>
      <c r="O38" s="88">
        <v>794</v>
      </c>
      <c r="P38" s="88">
        <v>558</v>
      </c>
      <c r="Q38" s="190">
        <f t="shared" si="4"/>
        <v>0.7027707808564232</v>
      </c>
    </row>
    <row r="39" spans="1:17" s="39" customFormat="1" ht="18" customHeight="1">
      <c r="A39" s="144">
        <v>5</v>
      </c>
      <c r="B39" s="145" t="s">
        <v>171</v>
      </c>
      <c r="C39" s="88">
        <v>24900</v>
      </c>
      <c r="D39" s="139">
        <v>1302126</v>
      </c>
      <c r="E39" s="88">
        <v>135</v>
      </c>
      <c r="F39" s="88">
        <v>24093</v>
      </c>
      <c r="G39" s="88">
        <v>1282</v>
      </c>
      <c r="H39" s="88">
        <v>100735</v>
      </c>
      <c r="I39" s="88">
        <v>921471</v>
      </c>
      <c r="J39" s="221">
        <f t="shared" si="3"/>
        <v>1415</v>
      </c>
      <c r="K39" s="88">
        <v>1275</v>
      </c>
      <c r="L39" s="88">
        <f>106+34</f>
        <v>140</v>
      </c>
      <c r="M39" s="88">
        <v>541</v>
      </c>
      <c r="N39" s="88">
        <v>2784</v>
      </c>
      <c r="O39" s="88">
        <v>2852</v>
      </c>
      <c r="P39" s="88">
        <v>1913</v>
      </c>
      <c r="Q39" s="190">
        <f t="shared" si="4"/>
        <v>0.6707573632538569</v>
      </c>
    </row>
    <row r="40" spans="1:18" s="39" customFormat="1" ht="18" customHeight="1">
      <c r="A40" s="144">
        <v>6</v>
      </c>
      <c r="B40" s="145" t="s">
        <v>172</v>
      </c>
      <c r="C40" s="88">
        <v>1346</v>
      </c>
      <c r="D40" s="88">
        <v>104650</v>
      </c>
      <c r="E40" s="88">
        <v>507</v>
      </c>
      <c r="F40" s="88">
        <v>51619</v>
      </c>
      <c r="G40" s="88">
        <v>80</v>
      </c>
      <c r="H40" s="88">
        <v>11310</v>
      </c>
      <c r="I40" s="88">
        <v>309247</v>
      </c>
      <c r="J40" s="221">
        <f t="shared" si="3"/>
        <v>508</v>
      </c>
      <c r="K40" s="88">
        <f>314</f>
        <v>314</v>
      </c>
      <c r="L40" s="88">
        <f>141+53</f>
        <v>194</v>
      </c>
      <c r="M40" s="88">
        <v>943</v>
      </c>
      <c r="N40" s="88">
        <v>6230</v>
      </c>
      <c r="O40" s="88">
        <v>1236</v>
      </c>
      <c r="P40" s="88">
        <v>826</v>
      </c>
      <c r="Q40" s="190">
        <f t="shared" si="4"/>
        <v>0.6682847896440129</v>
      </c>
      <c r="R40" s="6"/>
    </row>
    <row r="41" spans="1:17" s="39" customFormat="1" ht="18" customHeight="1">
      <c r="A41" s="144">
        <v>7</v>
      </c>
      <c r="B41" s="145" t="s">
        <v>173</v>
      </c>
      <c r="C41" s="88">
        <v>79642</v>
      </c>
      <c r="D41" s="245">
        <v>2336640</v>
      </c>
      <c r="E41" s="88">
        <v>465</v>
      </c>
      <c r="F41" s="88">
        <v>9042</v>
      </c>
      <c r="G41" s="88">
        <v>183</v>
      </c>
      <c r="H41" s="88">
        <v>2043</v>
      </c>
      <c r="I41" s="88">
        <v>269008</v>
      </c>
      <c r="J41" s="221">
        <f t="shared" si="3"/>
        <v>2715</v>
      </c>
      <c r="K41" s="88">
        <v>2516</v>
      </c>
      <c r="L41" s="88">
        <f>103+96</f>
        <v>199</v>
      </c>
      <c r="M41" s="88">
        <v>985</v>
      </c>
      <c r="N41" s="88">
        <v>7866</v>
      </c>
      <c r="O41" s="88">
        <v>3208</v>
      </c>
      <c r="P41" s="88">
        <v>2578</v>
      </c>
      <c r="Q41" s="190">
        <f t="shared" si="4"/>
        <v>0.8036159600997507</v>
      </c>
    </row>
    <row r="42" spans="1:17" s="39" customFormat="1" ht="18" customHeight="1">
      <c r="A42" s="144">
        <v>8</v>
      </c>
      <c r="B42" s="145" t="s">
        <v>174</v>
      </c>
      <c r="C42" s="88">
        <v>8177</v>
      </c>
      <c r="D42" s="245">
        <v>1128181</v>
      </c>
      <c r="E42" s="88">
        <v>344</v>
      </c>
      <c r="F42" s="88">
        <v>12207</v>
      </c>
      <c r="G42" s="88">
        <v>319</v>
      </c>
      <c r="H42" s="88">
        <v>64901</v>
      </c>
      <c r="I42" s="88">
        <v>327662</v>
      </c>
      <c r="J42" s="221">
        <f t="shared" si="3"/>
        <v>2094</v>
      </c>
      <c r="K42" s="88">
        <f>1721</f>
        <v>1721</v>
      </c>
      <c r="L42" s="88">
        <f>253+120</f>
        <v>373</v>
      </c>
      <c r="M42" s="88">
        <v>1148</v>
      </c>
      <c r="N42" s="88">
        <v>8324</v>
      </c>
      <c r="O42" s="88">
        <v>2675</v>
      </c>
      <c r="P42" s="88">
        <v>2108</v>
      </c>
      <c r="Q42" s="190">
        <f t="shared" si="4"/>
        <v>0.7880373831775701</v>
      </c>
    </row>
    <row r="43" spans="1:17" s="39" customFormat="1" ht="31.5" customHeight="1">
      <c r="A43" s="144">
        <v>9</v>
      </c>
      <c r="B43" s="145" t="s">
        <v>175</v>
      </c>
      <c r="C43" s="88">
        <v>24784</v>
      </c>
      <c r="D43" s="245">
        <v>1872225</v>
      </c>
      <c r="E43" s="245">
        <v>1058</v>
      </c>
      <c r="F43" s="88">
        <v>3781</v>
      </c>
      <c r="G43" s="88">
        <v>499</v>
      </c>
      <c r="H43" s="88">
        <v>7493</v>
      </c>
      <c r="I43" s="245">
        <v>1606551</v>
      </c>
      <c r="J43" s="221">
        <f t="shared" si="3"/>
        <v>2286</v>
      </c>
      <c r="K43" s="88">
        <v>2156</v>
      </c>
      <c r="L43" s="88">
        <f>119+11</f>
        <v>130</v>
      </c>
      <c r="M43" s="88">
        <v>598</v>
      </c>
      <c r="N43" s="88">
        <v>4806</v>
      </c>
      <c r="O43" s="88">
        <v>1993</v>
      </c>
      <c r="P43" s="88">
        <v>1542</v>
      </c>
      <c r="Q43" s="190">
        <f t="shared" si="4"/>
        <v>0.7737079779227296</v>
      </c>
    </row>
    <row r="44" spans="1:17" s="39" customFormat="1" ht="18" customHeight="1">
      <c r="A44" s="144">
        <v>10</v>
      </c>
      <c r="B44" s="145" t="s">
        <v>176</v>
      </c>
      <c r="C44" s="88">
        <f>486</f>
        <v>486</v>
      </c>
      <c r="D44" s="88">
        <v>6094</v>
      </c>
      <c r="E44" s="88">
        <v>111</v>
      </c>
      <c r="F44" s="88">
        <v>731</v>
      </c>
      <c r="G44" s="88">
        <v>250</v>
      </c>
      <c r="H44" s="88">
        <v>1132</v>
      </c>
      <c r="I44" s="88">
        <v>34133</v>
      </c>
      <c r="J44" s="221">
        <f t="shared" si="3"/>
        <v>429</v>
      </c>
      <c r="K44" s="88">
        <f>230</f>
        <v>230</v>
      </c>
      <c r="L44" s="88">
        <f>146+53</f>
        <v>199</v>
      </c>
      <c r="M44" s="88">
        <v>748</v>
      </c>
      <c r="N44" s="88">
        <v>5451</v>
      </c>
      <c r="O44" s="88">
        <v>2082</v>
      </c>
      <c r="P44" s="88">
        <v>1438</v>
      </c>
      <c r="Q44" s="190">
        <f t="shared" si="4"/>
        <v>0.6906820365033621</v>
      </c>
    </row>
    <row r="45" spans="1:17" s="39" customFormat="1" ht="18" customHeight="1">
      <c r="A45" s="144">
        <v>11</v>
      </c>
      <c r="B45" s="145" t="s">
        <v>177</v>
      </c>
      <c r="C45" s="88">
        <v>15206</v>
      </c>
      <c r="D45" s="245">
        <v>1175229</v>
      </c>
      <c r="E45" s="88">
        <v>107</v>
      </c>
      <c r="F45" s="88">
        <v>11884</v>
      </c>
      <c r="G45" s="88">
        <v>360</v>
      </c>
      <c r="H45" s="88">
        <v>14918</v>
      </c>
      <c r="I45" s="88">
        <v>436222</v>
      </c>
      <c r="J45" s="221">
        <f t="shared" si="3"/>
        <v>725</v>
      </c>
      <c r="K45" s="88">
        <f>533</f>
        <v>533</v>
      </c>
      <c r="L45" s="88">
        <f>120+72</f>
        <v>192</v>
      </c>
      <c r="M45" s="88">
        <v>507</v>
      </c>
      <c r="N45" s="88">
        <v>3514</v>
      </c>
      <c r="O45" s="88">
        <v>2306</v>
      </c>
      <c r="P45" s="88">
        <v>1538</v>
      </c>
      <c r="Q45" s="190">
        <f t="shared" si="4"/>
        <v>0.6669557675628794</v>
      </c>
    </row>
    <row r="46" spans="1:17" s="39" customFormat="1" ht="18" customHeight="1">
      <c r="A46" s="144">
        <v>12</v>
      </c>
      <c r="B46" s="145" t="s">
        <v>178</v>
      </c>
      <c r="C46" s="88">
        <v>30559</v>
      </c>
      <c r="D46" s="245">
        <v>1053406</v>
      </c>
      <c r="E46" s="88">
        <v>231</v>
      </c>
      <c r="F46" s="88">
        <v>40713</v>
      </c>
      <c r="G46" s="88">
        <v>275</v>
      </c>
      <c r="H46" s="88">
        <v>107091</v>
      </c>
      <c r="I46" s="88">
        <v>491927</v>
      </c>
      <c r="J46" s="221">
        <f t="shared" si="3"/>
        <v>1488</v>
      </c>
      <c r="K46" s="88">
        <v>1155</v>
      </c>
      <c r="L46" s="88">
        <f>233+100</f>
        <v>333</v>
      </c>
      <c r="M46" s="88">
        <v>938</v>
      </c>
      <c r="N46" s="88">
        <v>6392</v>
      </c>
      <c r="O46" s="88">
        <v>3777</v>
      </c>
      <c r="P46" s="88">
        <v>3025</v>
      </c>
      <c r="Q46" s="190">
        <f t="shared" si="4"/>
        <v>0.8009001853322743</v>
      </c>
    </row>
    <row r="47" spans="1:17" s="39" customFormat="1" ht="18" customHeight="1">
      <c r="A47" s="144">
        <v>13</v>
      </c>
      <c r="B47" s="145" t="s">
        <v>179</v>
      </c>
      <c r="C47" s="88">
        <v>50781</v>
      </c>
      <c r="D47" s="88">
        <v>959624</v>
      </c>
      <c r="E47" s="245">
        <v>1143</v>
      </c>
      <c r="F47" s="88">
        <v>30190</v>
      </c>
      <c r="G47" s="88">
        <v>2968</v>
      </c>
      <c r="H47" s="88">
        <v>28302</v>
      </c>
      <c r="I47" s="245">
        <v>1282247</v>
      </c>
      <c r="J47" s="221">
        <f t="shared" si="3"/>
        <v>1640</v>
      </c>
      <c r="K47" s="88">
        <v>1005</v>
      </c>
      <c r="L47" s="88">
        <f>266+369</f>
        <v>635</v>
      </c>
      <c r="M47" s="88">
        <v>663</v>
      </c>
      <c r="N47" s="88">
        <v>3989</v>
      </c>
      <c r="O47" s="88">
        <v>3449</v>
      </c>
      <c r="P47" s="88">
        <v>2992</v>
      </c>
      <c r="Q47" s="190">
        <f t="shared" si="4"/>
        <v>0.8674978254566541</v>
      </c>
    </row>
    <row r="48" spans="1:17" s="39" customFormat="1" ht="15.75" customHeight="1">
      <c r="A48" s="144">
        <v>14</v>
      </c>
      <c r="B48" s="145" t="s">
        <v>180</v>
      </c>
      <c r="C48" s="88">
        <f>2108+7</f>
        <v>2115</v>
      </c>
      <c r="D48" s="88">
        <f>95856+452</f>
        <v>96308</v>
      </c>
      <c r="E48" s="88">
        <v>199</v>
      </c>
      <c r="F48" s="88"/>
      <c r="G48" s="88"/>
      <c r="H48" s="88"/>
      <c r="I48" s="88">
        <v>2501</v>
      </c>
      <c r="J48" s="221">
        <f t="shared" si="3"/>
        <v>1299</v>
      </c>
      <c r="K48" s="88">
        <v>995</v>
      </c>
      <c r="L48" s="88">
        <f>225+79</f>
        <v>304</v>
      </c>
      <c r="M48" s="88">
        <v>2470</v>
      </c>
      <c r="N48" s="88">
        <v>11716</v>
      </c>
      <c r="O48" s="88">
        <v>150</v>
      </c>
      <c r="P48" s="88">
        <v>65</v>
      </c>
      <c r="Q48" s="190">
        <f t="shared" si="4"/>
        <v>0.43333333333333335</v>
      </c>
    </row>
    <row r="49" spans="1:17" s="39" customFormat="1" ht="18" customHeight="1">
      <c r="A49" s="144">
        <v>15</v>
      </c>
      <c r="B49" s="145" t="s">
        <v>181</v>
      </c>
      <c r="C49" s="88">
        <f>15+870+5112</f>
        <v>5997</v>
      </c>
      <c r="D49" s="88">
        <f>1200+85229+472526</f>
        <v>558955</v>
      </c>
      <c r="E49" s="88">
        <v>235</v>
      </c>
      <c r="F49" s="88">
        <v>2693</v>
      </c>
      <c r="G49" s="88">
        <f>30+1+58</f>
        <v>89</v>
      </c>
      <c r="H49" s="88">
        <v>4295</v>
      </c>
      <c r="I49" s="88">
        <f>3500+120400+301899</f>
        <v>425799</v>
      </c>
      <c r="J49" s="221">
        <f t="shared" si="3"/>
        <v>1373</v>
      </c>
      <c r="K49" s="88">
        <v>1164</v>
      </c>
      <c r="L49" s="88">
        <f>139+70</f>
        <v>209</v>
      </c>
      <c r="M49" s="88">
        <v>2419</v>
      </c>
      <c r="N49" s="88">
        <v>9863</v>
      </c>
      <c r="O49" s="88">
        <v>1248</v>
      </c>
      <c r="P49" s="88">
        <v>959</v>
      </c>
      <c r="Q49" s="190">
        <f t="shared" si="4"/>
        <v>0.7684294871794872</v>
      </c>
    </row>
    <row r="50" spans="1:17" s="39" customFormat="1" ht="18" customHeight="1">
      <c r="A50" s="144">
        <v>16</v>
      </c>
      <c r="B50" s="145" t="s">
        <v>182</v>
      </c>
      <c r="C50" s="88">
        <v>1367</v>
      </c>
      <c r="D50" s="88">
        <v>143264</v>
      </c>
      <c r="E50" s="88">
        <v>445</v>
      </c>
      <c r="F50" s="88">
        <v>8832</v>
      </c>
      <c r="G50" s="294">
        <v>4125</v>
      </c>
      <c r="H50" s="88">
        <v>2772</v>
      </c>
      <c r="I50" s="245">
        <v>2497011</v>
      </c>
      <c r="J50" s="221">
        <f t="shared" si="3"/>
        <v>3581</v>
      </c>
      <c r="K50" s="88">
        <f>3001</f>
        <v>3001</v>
      </c>
      <c r="L50" s="88">
        <f>495+85</f>
        <v>580</v>
      </c>
      <c r="M50" s="88">
        <v>2456</v>
      </c>
      <c r="N50" s="88">
        <v>13777</v>
      </c>
      <c r="O50" s="88">
        <v>3016</v>
      </c>
      <c r="P50" s="88">
        <v>2473</v>
      </c>
      <c r="Q50" s="190">
        <f t="shared" si="4"/>
        <v>0.8199602122015915</v>
      </c>
    </row>
    <row r="51" spans="1:17" s="39" customFormat="1" ht="18" customHeight="1">
      <c r="A51" s="144">
        <v>17</v>
      </c>
      <c r="B51" s="145" t="s">
        <v>183</v>
      </c>
      <c r="C51" s="88">
        <v>762</v>
      </c>
      <c r="D51" s="88">
        <v>66460</v>
      </c>
      <c r="E51" s="88">
        <v>144</v>
      </c>
      <c r="F51" s="88">
        <v>4341</v>
      </c>
      <c r="G51" s="88">
        <v>141</v>
      </c>
      <c r="H51" s="88">
        <v>3727</v>
      </c>
      <c r="I51" s="88">
        <v>43207</v>
      </c>
      <c r="J51" s="221">
        <f t="shared" si="3"/>
        <v>429</v>
      </c>
      <c r="K51" s="88">
        <f>175</f>
        <v>175</v>
      </c>
      <c r="L51" s="88">
        <f>172+82</f>
        <v>254</v>
      </c>
      <c r="M51" s="88">
        <v>777</v>
      </c>
      <c r="N51" s="331">
        <v>3298</v>
      </c>
      <c r="O51" s="88">
        <v>746</v>
      </c>
      <c r="P51" s="88">
        <v>501</v>
      </c>
      <c r="Q51" s="190">
        <f t="shared" si="4"/>
        <v>0.6715817694369973</v>
      </c>
    </row>
    <row r="52" spans="1:17" s="39" customFormat="1" ht="18" customHeight="1">
      <c r="A52" s="144">
        <v>18</v>
      </c>
      <c r="B52" s="145" t="s">
        <v>184</v>
      </c>
      <c r="C52" s="88">
        <v>2424</v>
      </c>
      <c r="D52" s="88">
        <v>298050</v>
      </c>
      <c r="E52" s="88">
        <v>104</v>
      </c>
      <c r="F52" s="88">
        <v>10566</v>
      </c>
      <c r="G52" s="88">
        <v>28</v>
      </c>
      <c r="H52" s="88">
        <v>2573</v>
      </c>
      <c r="I52" s="88">
        <v>56122</v>
      </c>
      <c r="J52" s="221">
        <f t="shared" si="3"/>
        <v>2064</v>
      </c>
      <c r="K52" s="88">
        <v>1767</v>
      </c>
      <c r="L52" s="88">
        <f>216+81</f>
        <v>297</v>
      </c>
      <c r="M52" s="88">
        <v>1690</v>
      </c>
      <c r="N52" s="88">
        <v>8120</v>
      </c>
      <c r="O52" s="88">
        <v>759</v>
      </c>
      <c r="P52" s="88">
        <v>557</v>
      </c>
      <c r="Q52" s="190">
        <f t="shared" si="4"/>
        <v>0.7338603425559947</v>
      </c>
    </row>
    <row r="53" spans="1:17" s="39" customFormat="1" ht="18" customHeight="1">
      <c r="A53" s="144">
        <v>19</v>
      </c>
      <c r="B53" s="146" t="s">
        <v>202</v>
      </c>
      <c r="C53" s="88">
        <v>11203</v>
      </c>
      <c r="D53" s="245">
        <v>2339732</v>
      </c>
      <c r="E53" s="88">
        <v>459</v>
      </c>
      <c r="F53" s="88">
        <v>12882</v>
      </c>
      <c r="G53" s="88">
        <v>364</v>
      </c>
      <c r="H53" s="88">
        <v>20861</v>
      </c>
      <c r="I53" s="245">
        <v>3169980</v>
      </c>
      <c r="J53" s="221">
        <f t="shared" si="3"/>
        <v>1716</v>
      </c>
      <c r="K53" s="88">
        <v>1270</v>
      </c>
      <c r="L53" s="88">
        <f>354+92</f>
        <v>446</v>
      </c>
      <c r="M53" s="88">
        <v>976</v>
      </c>
      <c r="N53" s="88">
        <v>5173</v>
      </c>
      <c r="O53" s="88">
        <v>3828</v>
      </c>
      <c r="P53" s="88">
        <v>2988</v>
      </c>
      <c r="Q53" s="190">
        <f t="shared" si="4"/>
        <v>0.780564263322884</v>
      </c>
    </row>
    <row r="54" spans="1:17" s="39" customFormat="1" ht="18" customHeight="1">
      <c r="A54" s="144">
        <v>20</v>
      </c>
      <c r="B54" s="146" t="s">
        <v>203</v>
      </c>
      <c r="C54" s="245">
        <v>46694</v>
      </c>
      <c r="D54" s="245">
        <v>1712732</v>
      </c>
      <c r="E54" s="88">
        <v>301</v>
      </c>
      <c r="F54" s="88">
        <v>111340</v>
      </c>
      <c r="G54" s="88">
        <v>965</v>
      </c>
      <c r="H54" s="88">
        <v>174978</v>
      </c>
      <c r="I54" s="245">
        <v>718508</v>
      </c>
      <c r="J54" s="221">
        <f t="shared" si="3"/>
        <v>1486</v>
      </c>
      <c r="K54" s="88">
        <v>1118</v>
      </c>
      <c r="L54" s="88">
        <f>312+56</f>
        <v>368</v>
      </c>
      <c r="M54" s="88">
        <v>806</v>
      </c>
      <c r="N54" s="88">
        <v>4369</v>
      </c>
      <c r="O54" s="88">
        <v>5331</v>
      </c>
      <c r="P54" s="88">
        <v>3965</v>
      </c>
      <c r="Q54" s="190">
        <f t="shared" si="4"/>
        <v>0.7437628962671169</v>
      </c>
    </row>
    <row r="55" spans="1:17" s="39" customFormat="1" ht="18" customHeight="1">
      <c r="A55" s="144">
        <v>21</v>
      </c>
      <c r="B55" s="146" t="s">
        <v>204</v>
      </c>
      <c r="C55" s="88">
        <v>14943</v>
      </c>
      <c r="D55" s="245">
        <v>2464936</v>
      </c>
      <c r="E55" s="88">
        <v>187</v>
      </c>
      <c r="F55" s="88">
        <v>24595</v>
      </c>
      <c r="G55" s="88">
        <v>1030</v>
      </c>
      <c r="H55" s="88">
        <v>98852</v>
      </c>
      <c r="I55" s="88">
        <v>456421</v>
      </c>
      <c r="J55" s="221">
        <f t="shared" si="3"/>
        <v>2967</v>
      </c>
      <c r="K55" s="88">
        <v>2526</v>
      </c>
      <c r="L55" s="88">
        <f>381+60</f>
        <v>441</v>
      </c>
      <c r="M55" s="331">
        <v>2146</v>
      </c>
      <c r="N55" s="331">
        <v>11207</v>
      </c>
      <c r="O55" s="88">
        <v>1485</v>
      </c>
      <c r="P55" s="88">
        <v>1134</v>
      </c>
      <c r="Q55" s="190">
        <f t="shared" si="4"/>
        <v>0.7636363636363637</v>
      </c>
    </row>
    <row r="56" spans="1:17" s="39" customFormat="1" ht="18" customHeight="1">
      <c r="A56" s="144">
        <v>22</v>
      </c>
      <c r="B56" s="146" t="s">
        <v>205</v>
      </c>
      <c r="C56" s="88">
        <v>3749</v>
      </c>
      <c r="D56" s="245">
        <v>403059</v>
      </c>
      <c r="E56" s="294">
        <v>195</v>
      </c>
      <c r="F56" s="88">
        <v>1560</v>
      </c>
      <c r="G56" s="88">
        <v>321</v>
      </c>
      <c r="H56" s="88">
        <v>4900</v>
      </c>
      <c r="I56" s="88">
        <v>11900</v>
      </c>
      <c r="J56" s="317">
        <f t="shared" si="3"/>
        <v>5210</v>
      </c>
      <c r="K56" s="331">
        <v>4740</v>
      </c>
      <c r="L56" s="88">
        <f>392+78</f>
        <v>470</v>
      </c>
      <c r="M56" s="88">
        <v>2075</v>
      </c>
      <c r="N56" s="88">
        <v>10161</v>
      </c>
      <c r="O56" s="88">
        <v>1560</v>
      </c>
      <c r="P56" s="88">
        <v>1384</v>
      </c>
      <c r="Q56" s="190">
        <f t="shared" si="4"/>
        <v>0.8871794871794871</v>
      </c>
    </row>
    <row r="57" spans="1:17" s="39" customFormat="1" ht="18" customHeight="1">
      <c r="A57" s="144">
        <v>23</v>
      </c>
      <c r="B57" s="146" t="s">
        <v>206</v>
      </c>
      <c r="C57" s="88">
        <v>1553</v>
      </c>
      <c r="D57" s="88">
        <v>120356</v>
      </c>
      <c r="E57" s="88">
        <v>234</v>
      </c>
      <c r="F57" s="88">
        <v>1260</v>
      </c>
      <c r="G57" s="88">
        <v>41</v>
      </c>
      <c r="H57" s="88">
        <v>13256</v>
      </c>
      <c r="I57" s="88">
        <v>27185</v>
      </c>
      <c r="J57" s="221">
        <f t="shared" si="3"/>
        <v>540</v>
      </c>
      <c r="K57" s="88">
        <v>432</v>
      </c>
      <c r="L57" s="88">
        <f>51+57</f>
        <v>108</v>
      </c>
      <c r="M57" s="88">
        <v>1303</v>
      </c>
      <c r="N57" s="88">
        <v>1303</v>
      </c>
      <c r="O57" s="88">
        <v>2578</v>
      </c>
      <c r="P57" s="88">
        <v>2317</v>
      </c>
      <c r="Q57" s="190">
        <f t="shared" si="4"/>
        <v>0.8987587276958883</v>
      </c>
    </row>
    <row r="58" spans="1:17" s="39" customFormat="1" ht="18" customHeight="1">
      <c r="A58" s="144">
        <v>24</v>
      </c>
      <c r="B58" s="146" t="s">
        <v>207</v>
      </c>
      <c r="C58" s="88">
        <v>9169</v>
      </c>
      <c r="D58" s="88">
        <v>800091</v>
      </c>
      <c r="E58" s="245">
        <v>1010</v>
      </c>
      <c r="F58" s="88">
        <v>79856</v>
      </c>
      <c r="G58" s="88">
        <v>699</v>
      </c>
      <c r="H58" s="88">
        <v>22494</v>
      </c>
      <c r="I58" s="245">
        <v>1264991</v>
      </c>
      <c r="J58" s="221">
        <f t="shared" si="3"/>
        <v>3702</v>
      </c>
      <c r="K58" s="88">
        <v>3223</v>
      </c>
      <c r="L58" s="88">
        <v>479</v>
      </c>
      <c r="M58" s="88">
        <v>3048</v>
      </c>
      <c r="N58" s="88">
        <v>2052</v>
      </c>
      <c r="O58" s="88">
        <v>6248</v>
      </c>
      <c r="P58" s="88">
        <v>4314</v>
      </c>
      <c r="Q58" s="190">
        <f t="shared" si="4"/>
        <v>0.690460947503201</v>
      </c>
    </row>
    <row r="59" spans="1:17" s="39" customFormat="1" ht="18" customHeight="1">
      <c r="A59" s="144">
        <v>25</v>
      </c>
      <c r="B59" s="146" t="s">
        <v>208</v>
      </c>
      <c r="C59" s="88">
        <v>8338</v>
      </c>
      <c r="D59" s="245">
        <v>1144545</v>
      </c>
      <c r="E59" s="139">
        <v>18339</v>
      </c>
      <c r="F59" s="88">
        <v>32294</v>
      </c>
      <c r="G59" s="245">
        <v>10461</v>
      </c>
      <c r="H59" s="88">
        <v>593407</v>
      </c>
      <c r="I59" s="88">
        <v>262791</v>
      </c>
      <c r="J59" s="221">
        <f t="shared" si="3"/>
        <v>1621</v>
      </c>
      <c r="K59" s="88">
        <v>1407</v>
      </c>
      <c r="L59" s="88">
        <f>182+32</f>
        <v>214</v>
      </c>
      <c r="M59" s="88">
        <v>2753</v>
      </c>
      <c r="N59" s="88">
        <v>18071</v>
      </c>
      <c r="O59" s="88">
        <v>3593</v>
      </c>
      <c r="P59" s="88">
        <v>2828</v>
      </c>
      <c r="Q59" s="190">
        <f t="shared" si="4"/>
        <v>0.7870860005566379</v>
      </c>
    </row>
    <row r="60" spans="1:17" s="39" customFormat="1" ht="18" customHeight="1">
      <c r="A60" s="144">
        <v>26</v>
      </c>
      <c r="B60" s="146" t="s">
        <v>209</v>
      </c>
      <c r="C60" s="88">
        <v>4144</v>
      </c>
      <c r="D60" s="245">
        <v>82525</v>
      </c>
      <c r="E60" s="245">
        <v>2770</v>
      </c>
      <c r="F60" s="88">
        <v>13917</v>
      </c>
      <c r="G60" s="88">
        <v>181</v>
      </c>
      <c r="H60" s="245">
        <v>7280</v>
      </c>
      <c r="I60" s="88">
        <v>480212</v>
      </c>
      <c r="J60" s="221">
        <f t="shared" si="3"/>
        <v>2407</v>
      </c>
      <c r="K60" s="88">
        <v>1930</v>
      </c>
      <c r="L60" s="88">
        <f>432+45</f>
        <v>477</v>
      </c>
      <c r="M60" s="88">
        <v>1515</v>
      </c>
      <c r="N60" s="88">
        <v>10577</v>
      </c>
      <c r="O60" s="88">
        <v>2299</v>
      </c>
      <c r="P60" s="88">
        <v>1588</v>
      </c>
      <c r="Q60" s="190">
        <f t="shared" si="4"/>
        <v>0.6907351022183558</v>
      </c>
    </row>
    <row r="61" spans="1:17" s="39" customFormat="1" ht="18" customHeight="1">
      <c r="A61" s="144">
        <v>27</v>
      </c>
      <c r="B61" s="146" t="s">
        <v>210</v>
      </c>
      <c r="C61" s="88">
        <v>7032</v>
      </c>
      <c r="D61" s="88">
        <v>898413</v>
      </c>
      <c r="E61" s="88">
        <v>369</v>
      </c>
      <c r="F61" s="88">
        <v>25072</v>
      </c>
      <c r="G61" s="88">
        <v>198</v>
      </c>
      <c r="H61" s="88">
        <v>13383</v>
      </c>
      <c r="I61" s="88">
        <v>430488</v>
      </c>
      <c r="J61" s="221">
        <f t="shared" si="3"/>
        <v>2064</v>
      </c>
      <c r="K61" s="88">
        <f>1819</f>
        <v>1819</v>
      </c>
      <c r="L61" s="88">
        <f>185+60</f>
        <v>245</v>
      </c>
      <c r="M61" s="88">
        <v>2531</v>
      </c>
      <c r="N61" s="88">
        <v>13619</v>
      </c>
      <c r="O61" s="88">
        <v>3250</v>
      </c>
      <c r="P61" s="88">
        <v>2341</v>
      </c>
      <c r="Q61" s="190">
        <f t="shared" si="4"/>
        <v>0.7203076923076923</v>
      </c>
    </row>
    <row r="62" spans="1:17" s="39" customFormat="1" ht="18" customHeight="1">
      <c r="A62" s="144">
        <v>28</v>
      </c>
      <c r="B62" s="146" t="s">
        <v>211</v>
      </c>
      <c r="C62" s="88">
        <v>7955</v>
      </c>
      <c r="D62" s="88">
        <v>354158</v>
      </c>
      <c r="E62" s="88">
        <v>251</v>
      </c>
      <c r="F62" s="88">
        <v>38909</v>
      </c>
      <c r="G62" s="88">
        <v>424</v>
      </c>
      <c r="H62" s="88">
        <v>38960</v>
      </c>
      <c r="I62" s="88">
        <v>385993</v>
      </c>
      <c r="J62" s="221">
        <f t="shared" si="3"/>
        <v>1063</v>
      </c>
      <c r="K62" s="88">
        <v>662</v>
      </c>
      <c r="L62" s="88">
        <f>383+18</f>
        <v>401</v>
      </c>
      <c r="M62" s="88">
        <v>530</v>
      </c>
      <c r="N62" s="302">
        <v>3212</v>
      </c>
      <c r="O62" s="88">
        <v>3906</v>
      </c>
      <c r="P62" s="88">
        <v>3351</v>
      </c>
      <c r="Q62" s="190">
        <f t="shared" si="4"/>
        <v>0.857910906298003</v>
      </c>
    </row>
    <row r="63" spans="1:19" s="39" customFormat="1" ht="18" customHeight="1">
      <c r="A63" s="144">
        <v>29</v>
      </c>
      <c r="B63" s="146" t="s">
        <v>212</v>
      </c>
      <c r="C63" s="88">
        <v>2591</v>
      </c>
      <c r="D63" s="88">
        <v>183795</v>
      </c>
      <c r="E63" s="88">
        <v>324</v>
      </c>
      <c r="F63" s="88">
        <v>20056</v>
      </c>
      <c r="G63" s="88">
        <v>222</v>
      </c>
      <c r="H63" s="88">
        <v>10831</v>
      </c>
      <c r="I63" s="88">
        <v>48142</v>
      </c>
      <c r="J63" s="221">
        <f t="shared" si="3"/>
        <v>1596</v>
      </c>
      <c r="K63" s="88">
        <v>1394</v>
      </c>
      <c r="L63" s="88">
        <f>158+44</f>
        <v>202</v>
      </c>
      <c r="M63" s="88">
        <v>2048</v>
      </c>
      <c r="N63" s="88">
        <v>11624</v>
      </c>
      <c r="O63" s="88">
        <v>1282</v>
      </c>
      <c r="P63" s="88">
        <v>1022</v>
      </c>
      <c r="Q63" s="190">
        <f t="shared" si="4"/>
        <v>0.797191887675507</v>
      </c>
      <c r="S63" s="301"/>
    </row>
    <row r="64" spans="1:17" s="39" customFormat="1" ht="18" customHeight="1">
      <c r="A64" s="144">
        <v>30</v>
      </c>
      <c r="B64" s="146" t="s">
        <v>213</v>
      </c>
      <c r="C64" s="88">
        <v>3045</v>
      </c>
      <c r="D64" s="88">
        <v>204660</v>
      </c>
      <c r="E64" s="88">
        <v>373</v>
      </c>
      <c r="F64" s="88">
        <v>16722</v>
      </c>
      <c r="G64" s="88">
        <v>2018</v>
      </c>
      <c r="H64" s="88">
        <v>42442</v>
      </c>
      <c r="I64" s="88">
        <v>396216</v>
      </c>
      <c r="J64" s="221">
        <f t="shared" si="3"/>
        <v>762</v>
      </c>
      <c r="K64" s="88">
        <v>572</v>
      </c>
      <c r="L64" s="88">
        <f>122+68</f>
        <v>190</v>
      </c>
      <c r="M64" s="88">
        <v>1062</v>
      </c>
      <c r="N64" s="88">
        <v>6889</v>
      </c>
      <c r="O64" s="88">
        <v>1553</v>
      </c>
      <c r="P64" s="88">
        <v>1136</v>
      </c>
      <c r="Q64" s="190">
        <f t="shared" si="4"/>
        <v>0.7314874436574372</v>
      </c>
    </row>
    <row r="65" spans="1:17" s="39" customFormat="1" ht="18" customHeight="1">
      <c r="A65" s="144">
        <v>31</v>
      </c>
      <c r="B65" s="146" t="s">
        <v>214</v>
      </c>
      <c r="C65" s="88">
        <v>5466</v>
      </c>
      <c r="D65" s="88">
        <v>975478</v>
      </c>
      <c r="E65" s="88">
        <v>642</v>
      </c>
      <c r="F65" s="88">
        <v>20639</v>
      </c>
      <c r="G65" s="88">
        <v>440</v>
      </c>
      <c r="H65" s="245">
        <v>3578936</v>
      </c>
      <c r="I65" s="88">
        <v>203177</v>
      </c>
      <c r="J65" s="221">
        <f t="shared" si="3"/>
        <v>994</v>
      </c>
      <c r="K65" s="88">
        <v>729</v>
      </c>
      <c r="L65" s="88">
        <f>225+40</f>
        <v>265</v>
      </c>
      <c r="M65" s="88">
        <v>1048</v>
      </c>
      <c r="N65" s="88">
        <v>5647</v>
      </c>
      <c r="O65" s="88">
        <v>867</v>
      </c>
      <c r="P65" s="88">
        <v>735</v>
      </c>
      <c r="Q65" s="190">
        <f t="shared" si="4"/>
        <v>0.8477508650519031</v>
      </c>
    </row>
    <row r="66" spans="1:17" s="300" customFormat="1" ht="18" customHeight="1">
      <c r="A66" s="144">
        <v>32</v>
      </c>
      <c r="B66" s="146" t="s">
        <v>215</v>
      </c>
      <c r="C66" s="88">
        <v>46220</v>
      </c>
      <c r="D66" s="245">
        <v>1263602</v>
      </c>
      <c r="E66" s="245">
        <v>1085</v>
      </c>
      <c r="F66" s="88">
        <v>17353</v>
      </c>
      <c r="G66" s="88">
        <v>256</v>
      </c>
      <c r="H66" s="88">
        <v>8075</v>
      </c>
      <c r="I66" s="88">
        <v>295674</v>
      </c>
      <c r="J66" s="221">
        <f t="shared" si="3"/>
        <v>1891</v>
      </c>
      <c r="K66" s="88">
        <v>1423</v>
      </c>
      <c r="L66" s="88">
        <f>398+70</f>
        <v>468</v>
      </c>
      <c r="M66" s="88">
        <v>933</v>
      </c>
      <c r="N66" s="88">
        <v>7804</v>
      </c>
      <c r="O66" s="88">
        <v>7286</v>
      </c>
      <c r="P66" s="88">
        <v>4991</v>
      </c>
      <c r="Q66" s="190">
        <f t="shared" si="4"/>
        <v>0.6850123524567664</v>
      </c>
    </row>
    <row r="67" spans="1:17" s="39" customFormat="1" ht="18" customHeight="1">
      <c r="A67" s="285">
        <v>33</v>
      </c>
      <c r="B67" s="286" t="s">
        <v>216</v>
      </c>
      <c r="C67" s="88">
        <v>5617</v>
      </c>
      <c r="D67" s="88">
        <v>367947</v>
      </c>
      <c r="E67" s="88">
        <v>203</v>
      </c>
      <c r="F67" s="88">
        <v>5982</v>
      </c>
      <c r="G67" s="88">
        <v>572</v>
      </c>
      <c r="H67" s="88">
        <v>60980</v>
      </c>
      <c r="I67" s="88">
        <v>249375</v>
      </c>
      <c r="J67" s="287">
        <f t="shared" si="3"/>
        <v>669</v>
      </c>
      <c r="K67" s="88">
        <v>411</v>
      </c>
      <c r="L67" s="88">
        <f>159+99</f>
        <v>258</v>
      </c>
      <c r="M67" s="88">
        <v>837</v>
      </c>
      <c r="N67" s="88">
        <v>4858</v>
      </c>
      <c r="O67" s="88">
        <v>601</v>
      </c>
      <c r="P67" s="88">
        <v>505</v>
      </c>
      <c r="Q67" s="288">
        <f t="shared" si="4"/>
        <v>0.8402662229617305</v>
      </c>
    </row>
    <row r="68" spans="1:17" s="39" customFormat="1" ht="18" customHeight="1">
      <c r="A68" s="144">
        <v>34</v>
      </c>
      <c r="B68" s="146" t="s">
        <v>217</v>
      </c>
      <c r="C68" s="88">
        <v>2377</v>
      </c>
      <c r="D68" s="88">
        <v>167208</v>
      </c>
      <c r="E68" s="245">
        <v>1220</v>
      </c>
      <c r="F68" s="88">
        <v>1215</v>
      </c>
      <c r="G68" s="88">
        <v>109</v>
      </c>
      <c r="H68" s="88">
        <v>6437</v>
      </c>
      <c r="I68" s="88">
        <v>23707</v>
      </c>
      <c r="J68" s="221">
        <f t="shared" si="3"/>
        <v>1010</v>
      </c>
      <c r="K68" s="88">
        <v>708</v>
      </c>
      <c r="L68" s="88">
        <f>260+42</f>
        <v>302</v>
      </c>
      <c r="M68" s="88">
        <v>1207</v>
      </c>
      <c r="N68" s="88">
        <v>5663</v>
      </c>
      <c r="O68" s="88">
        <v>433</v>
      </c>
      <c r="P68" s="88">
        <v>353</v>
      </c>
      <c r="Q68" s="190">
        <f t="shared" si="4"/>
        <v>0.815242494226328</v>
      </c>
    </row>
    <row r="69" spans="1:17" s="39" customFormat="1" ht="18" customHeight="1">
      <c r="A69" s="144">
        <v>35</v>
      </c>
      <c r="B69" s="146" t="s">
        <v>218</v>
      </c>
      <c r="C69" s="88">
        <v>4329</v>
      </c>
      <c r="D69" s="88">
        <v>335289</v>
      </c>
      <c r="E69" s="88">
        <v>178</v>
      </c>
      <c r="F69" s="88">
        <v>35482</v>
      </c>
      <c r="G69" s="88">
        <v>465</v>
      </c>
      <c r="H69" s="88">
        <v>56450</v>
      </c>
      <c r="I69" s="88">
        <v>518500</v>
      </c>
      <c r="J69" s="221">
        <f t="shared" si="3"/>
        <v>2238</v>
      </c>
      <c r="K69" s="88">
        <v>2001</v>
      </c>
      <c r="L69" s="88">
        <f>216+21</f>
        <v>237</v>
      </c>
      <c r="M69" s="88">
        <v>1588</v>
      </c>
      <c r="N69" s="88">
        <v>8228</v>
      </c>
      <c r="O69" s="88">
        <v>2963</v>
      </c>
      <c r="P69" s="88">
        <v>2069</v>
      </c>
      <c r="Q69" s="190">
        <f t="shared" si="4"/>
        <v>0.6982787715153561</v>
      </c>
    </row>
    <row r="70" spans="1:17" s="39" customFormat="1" ht="18" customHeight="1">
      <c r="A70" s="144">
        <v>36</v>
      </c>
      <c r="B70" s="163" t="s">
        <v>219</v>
      </c>
      <c r="C70" s="88">
        <v>10111</v>
      </c>
      <c r="D70" s="88">
        <v>728398</v>
      </c>
      <c r="E70" s="245">
        <v>1916</v>
      </c>
      <c r="F70" s="88">
        <v>2519</v>
      </c>
      <c r="G70" s="88">
        <v>1367</v>
      </c>
      <c r="H70" s="88">
        <v>3059</v>
      </c>
      <c r="I70" s="88">
        <v>289408</v>
      </c>
      <c r="J70" s="221">
        <f t="shared" si="3"/>
        <v>2861</v>
      </c>
      <c r="K70" s="88">
        <v>2527</v>
      </c>
      <c r="L70" s="88">
        <f>246+88</f>
        <v>334</v>
      </c>
      <c r="M70" s="88">
        <v>2314</v>
      </c>
      <c r="N70" s="88">
        <v>12687</v>
      </c>
      <c r="O70" s="88">
        <v>1683</v>
      </c>
      <c r="P70" s="88">
        <v>1174</v>
      </c>
      <c r="Q70" s="190">
        <f t="shared" si="4"/>
        <v>0.6975638740344623</v>
      </c>
    </row>
    <row r="71" spans="1:17" s="39" customFormat="1" ht="18" customHeight="1">
      <c r="A71" s="144">
        <v>37</v>
      </c>
      <c r="B71" s="163" t="s">
        <v>220</v>
      </c>
      <c r="C71" s="88">
        <v>10256</v>
      </c>
      <c r="D71" s="88">
        <v>397822</v>
      </c>
      <c r="E71" s="88">
        <v>164</v>
      </c>
      <c r="F71" s="88">
        <v>2656</v>
      </c>
      <c r="G71" s="88">
        <v>500</v>
      </c>
      <c r="H71" s="88">
        <v>8306</v>
      </c>
      <c r="I71" s="88">
        <v>11868</v>
      </c>
      <c r="J71" s="221">
        <f t="shared" si="3"/>
        <v>2950</v>
      </c>
      <c r="K71" s="88">
        <v>2352</v>
      </c>
      <c r="L71" s="88">
        <f>396+202</f>
        <v>598</v>
      </c>
      <c r="M71" s="88">
        <v>2205</v>
      </c>
      <c r="N71" s="88">
        <v>10430</v>
      </c>
      <c r="O71" s="88">
        <v>1849</v>
      </c>
      <c r="P71" s="88">
        <v>1514</v>
      </c>
      <c r="Q71" s="190">
        <f t="shared" si="4"/>
        <v>0.8188209843158464</v>
      </c>
    </row>
    <row r="72" spans="1:17" s="39" customFormat="1" ht="18" customHeight="1">
      <c r="A72" s="144">
        <v>38</v>
      </c>
      <c r="B72" s="163" t="s">
        <v>221</v>
      </c>
      <c r="C72" s="88">
        <v>22447</v>
      </c>
      <c r="D72" s="88">
        <v>555820</v>
      </c>
      <c r="E72" s="245">
        <v>3425</v>
      </c>
      <c r="F72" s="88">
        <v>5713</v>
      </c>
      <c r="G72" s="88">
        <v>3255</v>
      </c>
      <c r="H72" s="88">
        <v>11977</v>
      </c>
      <c r="I72" s="88">
        <v>93182</v>
      </c>
      <c r="J72" s="221">
        <f t="shared" si="3"/>
        <v>2473</v>
      </c>
      <c r="K72" s="88">
        <v>2106</v>
      </c>
      <c r="L72" s="88">
        <f>295+72</f>
        <v>367</v>
      </c>
      <c r="M72" s="88">
        <v>1059</v>
      </c>
      <c r="N72" s="88">
        <v>7143</v>
      </c>
      <c r="O72" s="88">
        <v>3929</v>
      </c>
      <c r="P72" s="88">
        <v>3125</v>
      </c>
      <c r="Q72" s="190">
        <f t="shared" si="4"/>
        <v>0.7953677780605752</v>
      </c>
    </row>
    <row r="73" spans="1:17" s="39" customFormat="1" ht="18" customHeight="1">
      <c r="A73" s="144">
        <v>39</v>
      </c>
      <c r="B73" s="163" t="s">
        <v>222</v>
      </c>
      <c r="C73" s="88">
        <v>673</v>
      </c>
      <c r="D73" s="88">
        <v>46682</v>
      </c>
      <c r="E73" s="88">
        <v>229</v>
      </c>
      <c r="F73" s="88">
        <v>17743</v>
      </c>
      <c r="G73" s="88">
        <v>61</v>
      </c>
      <c r="H73" s="88">
        <v>6806</v>
      </c>
      <c r="I73" s="88">
        <v>111472</v>
      </c>
      <c r="J73" s="221">
        <f t="shared" si="3"/>
        <v>2087</v>
      </c>
      <c r="K73" s="88">
        <v>1714</v>
      </c>
      <c r="L73" s="88">
        <f>336+37</f>
        <v>373</v>
      </c>
      <c r="M73" s="88">
        <v>3689</v>
      </c>
      <c r="N73" s="88">
        <v>22074</v>
      </c>
      <c r="O73" s="88">
        <v>8219</v>
      </c>
      <c r="P73" s="88">
        <v>6591</v>
      </c>
      <c r="Q73" s="190">
        <f t="shared" si="4"/>
        <v>0.8019223749847914</v>
      </c>
    </row>
    <row r="74" spans="1:17" s="39" customFormat="1" ht="18" customHeight="1">
      <c r="A74" s="144">
        <v>40</v>
      </c>
      <c r="B74" s="163" t="s">
        <v>223</v>
      </c>
      <c r="C74" s="88">
        <v>6845</v>
      </c>
      <c r="D74" s="245">
        <v>1649795</v>
      </c>
      <c r="E74" s="245">
        <v>3656</v>
      </c>
      <c r="F74" s="88">
        <v>42436</v>
      </c>
      <c r="G74" s="88">
        <v>2236</v>
      </c>
      <c r="H74" s="88">
        <v>29983</v>
      </c>
      <c r="I74" s="88">
        <v>252243</v>
      </c>
      <c r="J74" s="221">
        <f t="shared" si="3"/>
        <v>8900</v>
      </c>
      <c r="K74" s="88">
        <v>7390</v>
      </c>
      <c r="L74" s="88">
        <f>1396+114</f>
        <v>1510</v>
      </c>
      <c r="M74" s="88">
        <v>5902</v>
      </c>
      <c r="N74" s="88">
        <v>36525</v>
      </c>
      <c r="O74" s="88">
        <v>7689</v>
      </c>
      <c r="P74" s="88">
        <v>5827</v>
      </c>
      <c r="Q74" s="190">
        <f t="shared" si="4"/>
        <v>0.7578358694238523</v>
      </c>
    </row>
    <row r="75" spans="1:17" s="39" customFormat="1" ht="18" customHeight="1">
      <c r="A75" s="144">
        <v>41</v>
      </c>
      <c r="B75" s="163" t="s">
        <v>224</v>
      </c>
      <c r="C75" s="88">
        <v>3404</v>
      </c>
      <c r="D75" s="88">
        <v>156367</v>
      </c>
      <c r="E75" s="88">
        <v>532</v>
      </c>
      <c r="F75" s="88">
        <v>17511</v>
      </c>
      <c r="G75" s="88">
        <v>153</v>
      </c>
      <c r="H75" s="88">
        <v>6212</v>
      </c>
      <c r="I75" s="88">
        <v>127720</v>
      </c>
      <c r="J75" s="221">
        <f t="shared" si="3"/>
        <v>1065</v>
      </c>
      <c r="K75" s="88">
        <v>714</v>
      </c>
      <c r="L75" s="88">
        <f>273+78</f>
        <v>351</v>
      </c>
      <c r="M75" s="88">
        <v>1678</v>
      </c>
      <c r="N75" s="88">
        <v>11019</v>
      </c>
      <c r="O75" s="88">
        <v>1340</v>
      </c>
      <c r="P75" s="88">
        <v>1022</v>
      </c>
      <c r="Q75" s="190">
        <f t="shared" si="4"/>
        <v>0.7626865671641792</v>
      </c>
    </row>
    <row r="76" spans="1:17" s="39" customFormat="1" ht="18" customHeight="1">
      <c r="A76" s="144">
        <v>42</v>
      </c>
      <c r="B76" s="163" t="s">
        <v>225</v>
      </c>
      <c r="C76" s="88">
        <v>1507</v>
      </c>
      <c r="D76" s="88">
        <v>33968</v>
      </c>
      <c r="E76" s="88">
        <v>141</v>
      </c>
      <c r="F76" s="88">
        <v>2161</v>
      </c>
      <c r="G76" s="88">
        <v>79</v>
      </c>
      <c r="H76" s="88">
        <v>637</v>
      </c>
      <c r="I76" s="88">
        <v>26851</v>
      </c>
      <c r="J76" s="221">
        <f t="shared" si="3"/>
        <v>770</v>
      </c>
      <c r="K76" s="88">
        <v>663</v>
      </c>
      <c r="L76" s="88">
        <f>66+41</f>
        <v>107</v>
      </c>
      <c r="M76" s="88">
        <v>340</v>
      </c>
      <c r="N76" s="88">
        <v>2137</v>
      </c>
      <c r="O76" s="88">
        <v>783</v>
      </c>
      <c r="P76" s="88">
        <v>492</v>
      </c>
      <c r="Q76" s="190">
        <f t="shared" si="4"/>
        <v>0.6283524904214559</v>
      </c>
    </row>
    <row r="77" spans="1:17" s="39" customFormat="1" ht="18" customHeight="1">
      <c r="A77" s="144">
        <v>43</v>
      </c>
      <c r="B77" s="163" t="s">
        <v>226</v>
      </c>
      <c r="C77" s="88">
        <v>9587</v>
      </c>
      <c r="D77" s="88">
        <v>701299</v>
      </c>
      <c r="E77" s="245">
        <v>2025</v>
      </c>
      <c r="F77" s="88">
        <v>24767</v>
      </c>
      <c r="G77" s="88">
        <v>1601</v>
      </c>
      <c r="H77" s="88">
        <v>20596</v>
      </c>
      <c r="I77" s="88">
        <v>850975</v>
      </c>
      <c r="J77" s="221">
        <f t="shared" si="3"/>
        <v>4243</v>
      </c>
      <c r="K77" s="88">
        <v>3876</v>
      </c>
      <c r="L77" s="88">
        <f>292+75</f>
        <v>367</v>
      </c>
      <c r="M77" s="88">
        <v>2895</v>
      </c>
      <c r="N77" s="88">
        <v>17186</v>
      </c>
      <c r="O77" s="88">
        <v>4182</v>
      </c>
      <c r="P77" s="88">
        <v>3182</v>
      </c>
      <c r="Q77" s="190">
        <f t="shared" si="4"/>
        <v>0.7608799617407939</v>
      </c>
    </row>
    <row r="78" spans="1:17" s="39" customFormat="1" ht="18" customHeight="1">
      <c r="A78" s="144">
        <v>44</v>
      </c>
      <c r="B78" s="163" t="s">
        <v>227</v>
      </c>
      <c r="C78" s="88">
        <v>936</v>
      </c>
      <c r="D78" s="88">
        <v>90081</v>
      </c>
      <c r="E78" s="88">
        <v>134</v>
      </c>
      <c r="F78" s="88">
        <v>2973</v>
      </c>
      <c r="G78" s="88">
        <v>39</v>
      </c>
      <c r="H78" s="88">
        <v>5045</v>
      </c>
      <c r="I78" s="88">
        <v>49217</v>
      </c>
      <c r="J78" s="221">
        <f t="shared" si="3"/>
        <v>760</v>
      </c>
      <c r="K78" s="88">
        <v>495</v>
      </c>
      <c r="L78" s="88">
        <f>162+103</f>
        <v>265</v>
      </c>
      <c r="M78" s="88">
        <v>569</v>
      </c>
      <c r="N78" s="88">
        <v>3112</v>
      </c>
      <c r="O78" s="88">
        <v>1809</v>
      </c>
      <c r="P78" s="88">
        <v>1280</v>
      </c>
      <c r="Q78" s="190">
        <f t="shared" si="4"/>
        <v>0.7075732448866777</v>
      </c>
    </row>
    <row r="79" spans="1:17" s="99" customFormat="1" ht="26.25">
      <c r="A79" s="144">
        <v>45</v>
      </c>
      <c r="B79" s="164" t="s">
        <v>233</v>
      </c>
      <c r="C79" s="88">
        <v>17902</v>
      </c>
      <c r="D79" s="245">
        <v>1223573</v>
      </c>
      <c r="E79" s="88">
        <v>323</v>
      </c>
      <c r="F79" s="88">
        <v>9334</v>
      </c>
      <c r="G79" s="88">
        <v>5262</v>
      </c>
      <c r="H79" s="88">
        <v>286910</v>
      </c>
      <c r="I79" s="88">
        <v>564213</v>
      </c>
      <c r="J79" s="221">
        <f t="shared" si="3"/>
        <v>1666</v>
      </c>
      <c r="K79" s="88">
        <v>1351</v>
      </c>
      <c r="L79" s="88">
        <f>157+158</f>
        <v>315</v>
      </c>
      <c r="M79" s="88">
        <v>1497</v>
      </c>
      <c r="N79" s="88">
        <v>9602</v>
      </c>
      <c r="O79" s="88">
        <v>2678</v>
      </c>
      <c r="P79" s="88">
        <v>2377</v>
      </c>
      <c r="Q79" s="190">
        <f t="shared" si="4"/>
        <v>0.8876026885735624</v>
      </c>
    </row>
    <row r="80" spans="1:17" s="39" customFormat="1" ht="26.25">
      <c r="A80" s="144">
        <v>46</v>
      </c>
      <c r="B80" s="164" t="s">
        <v>234</v>
      </c>
      <c r="C80" s="88">
        <v>4420</v>
      </c>
      <c r="D80" s="88">
        <v>319825</v>
      </c>
      <c r="E80" s="88">
        <v>926</v>
      </c>
      <c r="F80" s="88">
        <v>13297</v>
      </c>
      <c r="G80" s="88">
        <v>386</v>
      </c>
      <c r="H80" s="88">
        <v>14137</v>
      </c>
      <c r="I80" s="88">
        <v>114396</v>
      </c>
      <c r="J80" s="221">
        <f t="shared" si="3"/>
        <v>3035</v>
      </c>
      <c r="K80" s="88">
        <v>2710</v>
      </c>
      <c r="L80" s="88">
        <f>315+10</f>
        <v>325</v>
      </c>
      <c r="M80" s="88">
        <v>1687</v>
      </c>
      <c r="N80" s="88">
        <v>10144</v>
      </c>
      <c r="O80" s="88">
        <v>3994</v>
      </c>
      <c r="P80" s="88">
        <v>3274</v>
      </c>
      <c r="Q80" s="190">
        <f t="shared" si="4"/>
        <v>0.8197295943915874</v>
      </c>
    </row>
    <row r="81" spans="1:17" s="39" customFormat="1" ht="26.25">
      <c r="A81" s="144">
        <v>47</v>
      </c>
      <c r="B81" s="164" t="s">
        <v>235</v>
      </c>
      <c r="C81" s="88">
        <v>1424</v>
      </c>
      <c r="D81" s="88">
        <v>190579</v>
      </c>
      <c r="E81" s="245">
        <v>1151</v>
      </c>
      <c r="F81" s="88">
        <v>7755</v>
      </c>
      <c r="G81" s="88">
        <v>144</v>
      </c>
      <c r="H81" s="88">
        <v>3837</v>
      </c>
      <c r="I81" s="88">
        <v>144637</v>
      </c>
      <c r="J81" s="221">
        <f t="shared" si="3"/>
        <v>1127</v>
      </c>
      <c r="K81" s="88">
        <v>850</v>
      </c>
      <c r="L81" s="88">
        <f>140+137</f>
        <v>277</v>
      </c>
      <c r="M81" s="88">
        <v>1318</v>
      </c>
      <c r="N81" s="88">
        <v>7000</v>
      </c>
      <c r="O81" s="88">
        <v>2386</v>
      </c>
      <c r="P81" s="88">
        <v>1748</v>
      </c>
      <c r="Q81" s="190">
        <f t="shared" si="4"/>
        <v>0.732606873428332</v>
      </c>
    </row>
    <row r="82" spans="1:17" s="39" customFormat="1" ht="26.25">
      <c r="A82" s="144">
        <v>48</v>
      </c>
      <c r="B82" s="164" t="s">
        <v>236</v>
      </c>
      <c r="C82" s="88">
        <v>3806</v>
      </c>
      <c r="D82" s="88">
        <v>392105</v>
      </c>
      <c r="E82" s="88">
        <v>589</v>
      </c>
      <c r="F82" s="88">
        <v>34643</v>
      </c>
      <c r="G82" s="88">
        <v>265</v>
      </c>
      <c r="H82" s="88">
        <v>7983</v>
      </c>
      <c r="I82" s="88">
        <v>548571</v>
      </c>
      <c r="J82" s="221">
        <f t="shared" si="3"/>
        <v>1583</v>
      </c>
      <c r="K82" s="88">
        <v>1276</v>
      </c>
      <c r="L82" s="88">
        <f>231+76</f>
        <v>307</v>
      </c>
      <c r="M82" s="88">
        <v>1641</v>
      </c>
      <c r="N82" s="88">
        <v>9586</v>
      </c>
      <c r="O82" s="88">
        <v>2506</v>
      </c>
      <c r="P82" s="88">
        <v>1980</v>
      </c>
      <c r="Q82" s="190">
        <f t="shared" si="4"/>
        <v>0.7901037509976058</v>
      </c>
    </row>
    <row r="83" spans="1:17" s="39" customFormat="1" ht="18" customHeight="1">
      <c r="A83" s="144">
        <v>49</v>
      </c>
      <c r="B83" s="164" t="s">
        <v>237</v>
      </c>
      <c r="C83" s="88">
        <v>1897</v>
      </c>
      <c r="D83" s="245">
        <v>957759</v>
      </c>
      <c r="E83" s="88">
        <v>221</v>
      </c>
      <c r="F83" s="88">
        <v>10526</v>
      </c>
      <c r="G83" s="88">
        <v>103</v>
      </c>
      <c r="H83" s="88">
        <v>3540</v>
      </c>
      <c r="I83" s="88">
        <v>357322</v>
      </c>
      <c r="J83" s="221">
        <f t="shared" si="3"/>
        <v>1094</v>
      </c>
      <c r="K83" s="88">
        <v>840</v>
      </c>
      <c r="L83" s="88">
        <f>192+62</f>
        <v>254</v>
      </c>
      <c r="M83" s="88">
        <v>1218</v>
      </c>
      <c r="N83" s="88">
        <v>6366</v>
      </c>
      <c r="O83" s="88">
        <v>1110</v>
      </c>
      <c r="P83" s="88">
        <v>946</v>
      </c>
      <c r="Q83" s="190">
        <f t="shared" si="4"/>
        <v>0.8522522522522522</v>
      </c>
    </row>
    <row r="84" spans="1:17" s="99" customFormat="1" ht="18" customHeight="1">
      <c r="A84" s="144">
        <v>50</v>
      </c>
      <c r="B84" s="164" t="s">
        <v>238</v>
      </c>
      <c r="C84" s="88">
        <v>2303</v>
      </c>
      <c r="D84" s="88">
        <v>187313</v>
      </c>
      <c r="E84" s="88">
        <v>110</v>
      </c>
      <c r="F84" s="88">
        <v>1501</v>
      </c>
      <c r="G84" s="88">
        <v>134</v>
      </c>
      <c r="H84" s="88">
        <v>15742</v>
      </c>
      <c r="I84" s="88">
        <v>41871</v>
      </c>
      <c r="J84" s="221">
        <f t="shared" si="3"/>
        <v>2227</v>
      </c>
      <c r="K84" s="88">
        <v>1831</v>
      </c>
      <c r="L84" s="88">
        <f>186+210</f>
        <v>396</v>
      </c>
      <c r="M84" s="88">
        <v>799</v>
      </c>
      <c r="N84" s="88">
        <v>3854</v>
      </c>
      <c r="O84" s="88">
        <v>4097</v>
      </c>
      <c r="P84" s="88">
        <v>3352</v>
      </c>
      <c r="Q84" s="190">
        <f t="shared" si="4"/>
        <v>0.8181596289968269</v>
      </c>
    </row>
    <row r="85" spans="1:17" s="99" customFormat="1" ht="18" customHeight="1">
      <c r="A85" s="144">
        <v>51</v>
      </c>
      <c r="B85" s="233" t="s">
        <v>239</v>
      </c>
      <c r="C85" s="88">
        <v>9607</v>
      </c>
      <c r="D85" s="88">
        <v>887017</v>
      </c>
      <c r="E85" s="88">
        <v>233</v>
      </c>
      <c r="F85" s="88">
        <v>33894</v>
      </c>
      <c r="G85" s="88">
        <v>299</v>
      </c>
      <c r="H85" s="88">
        <v>31821</v>
      </c>
      <c r="I85" s="88">
        <v>266911</v>
      </c>
      <c r="J85" s="221">
        <f t="shared" si="3"/>
        <v>3573</v>
      </c>
      <c r="K85" s="88">
        <v>3194</v>
      </c>
      <c r="L85" s="88">
        <f>298+81</f>
        <v>379</v>
      </c>
      <c r="M85" s="88">
        <v>3272</v>
      </c>
      <c r="N85" s="88">
        <v>17262</v>
      </c>
      <c r="O85" s="88">
        <v>1193</v>
      </c>
      <c r="P85" s="88">
        <v>1061</v>
      </c>
      <c r="Q85" s="190">
        <f t="shared" si="4"/>
        <v>0.8893545683151718</v>
      </c>
    </row>
    <row r="86" spans="1:17" s="99" customFormat="1" ht="18" customHeight="1">
      <c r="A86" s="144">
        <v>52</v>
      </c>
      <c r="B86" s="233" t="s">
        <v>240</v>
      </c>
      <c r="C86" s="88">
        <v>17909</v>
      </c>
      <c r="D86" s="88">
        <v>676607</v>
      </c>
      <c r="E86" s="88">
        <v>124</v>
      </c>
      <c r="F86" s="88">
        <v>2697</v>
      </c>
      <c r="G86" s="88">
        <v>115</v>
      </c>
      <c r="H86" s="88">
        <v>1945</v>
      </c>
      <c r="I86" s="88">
        <v>291358</v>
      </c>
      <c r="J86" s="221">
        <f t="shared" si="3"/>
        <v>1018</v>
      </c>
      <c r="K86" s="88">
        <v>835</v>
      </c>
      <c r="L86" s="88">
        <f>124+59</f>
        <v>183</v>
      </c>
      <c r="M86" s="88">
        <v>621</v>
      </c>
      <c r="N86" s="88">
        <v>4195</v>
      </c>
      <c r="O86" s="88">
        <v>2172</v>
      </c>
      <c r="P86" s="88">
        <v>1550</v>
      </c>
      <c r="Q86" s="190">
        <f t="shared" si="4"/>
        <v>0.7136279926335175</v>
      </c>
    </row>
    <row r="87" spans="1:17" s="39" customFormat="1" ht="18" customHeight="1">
      <c r="A87" s="144">
        <v>53</v>
      </c>
      <c r="B87" s="233" t="s">
        <v>241</v>
      </c>
      <c r="C87" s="88">
        <v>10597</v>
      </c>
      <c r="D87" s="245">
        <v>1799681</v>
      </c>
      <c r="E87" s="88">
        <v>419</v>
      </c>
      <c r="F87" s="88">
        <v>31506</v>
      </c>
      <c r="G87" s="88">
        <v>844</v>
      </c>
      <c r="H87" s="88">
        <v>36690</v>
      </c>
      <c r="I87" s="88">
        <v>509215</v>
      </c>
      <c r="J87" s="221">
        <f t="shared" si="3"/>
        <v>2386</v>
      </c>
      <c r="K87" s="88">
        <v>1050</v>
      </c>
      <c r="L87" s="88">
        <f>108+1228</f>
        <v>1336</v>
      </c>
      <c r="M87" s="88">
        <v>2058</v>
      </c>
      <c r="N87" s="88">
        <v>15213</v>
      </c>
      <c r="O87" s="88">
        <v>6080</v>
      </c>
      <c r="P87" s="88">
        <v>4935</v>
      </c>
      <c r="Q87" s="190">
        <f t="shared" si="4"/>
        <v>0.8116776315789473</v>
      </c>
    </row>
    <row r="88" spans="1:17" s="99" customFormat="1" ht="26.25">
      <c r="A88" s="144">
        <v>54</v>
      </c>
      <c r="B88" s="233" t="s">
        <v>242</v>
      </c>
      <c r="C88" s="88">
        <v>697</v>
      </c>
      <c r="D88" s="88">
        <v>30182</v>
      </c>
      <c r="E88" s="88">
        <v>181</v>
      </c>
      <c r="F88" s="88">
        <v>215000</v>
      </c>
      <c r="G88" s="88">
        <v>450</v>
      </c>
      <c r="H88" s="88">
        <v>190000</v>
      </c>
      <c r="I88" s="88">
        <v>95900</v>
      </c>
      <c r="J88" s="221">
        <f t="shared" si="3"/>
        <v>1347</v>
      </c>
      <c r="K88" s="88">
        <v>930</v>
      </c>
      <c r="L88" s="88">
        <f>351+66</f>
        <v>417</v>
      </c>
      <c r="M88" s="88">
        <v>2805</v>
      </c>
      <c r="N88" s="88">
        <v>17814</v>
      </c>
      <c r="O88" s="88">
        <v>2816</v>
      </c>
      <c r="P88" s="88">
        <v>2294</v>
      </c>
      <c r="Q88" s="190">
        <f t="shared" si="4"/>
        <v>0.8146306818181818</v>
      </c>
    </row>
    <row r="89" spans="1:17" s="99" customFormat="1" ht="18" customHeight="1">
      <c r="A89" s="144">
        <v>55</v>
      </c>
      <c r="B89" s="233" t="s">
        <v>243</v>
      </c>
      <c r="C89" s="88">
        <v>273</v>
      </c>
      <c r="D89" s="88">
        <v>35898</v>
      </c>
      <c r="E89" s="245">
        <v>1197</v>
      </c>
      <c r="F89" s="88">
        <v>51180</v>
      </c>
      <c r="G89" s="88">
        <v>396</v>
      </c>
      <c r="H89" s="88">
        <v>12632</v>
      </c>
      <c r="I89" s="88">
        <v>288139</v>
      </c>
      <c r="J89" s="221">
        <f t="shared" si="3"/>
        <v>5304</v>
      </c>
      <c r="K89" s="88">
        <v>4817</v>
      </c>
      <c r="L89" s="88">
        <f>431+56</f>
        <v>487</v>
      </c>
      <c r="M89" s="88">
        <v>5725</v>
      </c>
      <c r="N89" s="88">
        <v>31658</v>
      </c>
      <c r="O89" s="88">
        <v>6646</v>
      </c>
      <c r="P89" s="88">
        <v>5345</v>
      </c>
      <c r="Q89" s="190">
        <f t="shared" si="4"/>
        <v>0.8042431537767077</v>
      </c>
    </row>
    <row r="90" spans="1:17" s="99" customFormat="1" ht="26.25">
      <c r="A90" s="144">
        <v>56</v>
      </c>
      <c r="B90" s="233" t="s">
        <v>244</v>
      </c>
      <c r="C90" s="88">
        <v>6106</v>
      </c>
      <c r="D90" s="88">
        <v>454961</v>
      </c>
      <c r="E90" s="88">
        <v>150</v>
      </c>
      <c r="F90" s="88">
        <v>9362</v>
      </c>
      <c r="G90" s="88">
        <v>225</v>
      </c>
      <c r="H90" s="88">
        <v>7971</v>
      </c>
      <c r="I90" s="88">
        <v>259433</v>
      </c>
      <c r="J90" s="221">
        <f t="shared" si="3"/>
        <v>1769</v>
      </c>
      <c r="K90" s="88">
        <v>1502</v>
      </c>
      <c r="L90" s="88">
        <f>199+68</f>
        <v>267</v>
      </c>
      <c r="M90" s="88">
        <v>1508</v>
      </c>
      <c r="N90" s="88">
        <v>8704</v>
      </c>
      <c r="O90" s="88">
        <v>1448</v>
      </c>
      <c r="P90" s="88">
        <v>1117</v>
      </c>
      <c r="Q90" s="190">
        <f t="shared" si="4"/>
        <v>0.7714088397790055</v>
      </c>
    </row>
    <row r="91" spans="1:17" s="99" customFormat="1" ht="18" customHeight="1">
      <c r="A91" s="144">
        <v>57</v>
      </c>
      <c r="B91" s="233" t="s">
        <v>245</v>
      </c>
      <c r="C91" s="88">
        <v>54344</v>
      </c>
      <c r="D91" s="245">
        <v>2461358</v>
      </c>
      <c r="E91" s="88">
        <v>256</v>
      </c>
      <c r="F91" s="88">
        <v>2996</v>
      </c>
      <c r="G91" s="88">
        <v>571</v>
      </c>
      <c r="H91" s="88">
        <v>5219</v>
      </c>
      <c r="I91" s="88">
        <v>249810</v>
      </c>
      <c r="J91" s="221">
        <f t="shared" si="3"/>
        <v>2728</v>
      </c>
      <c r="K91" s="88">
        <v>2419</v>
      </c>
      <c r="L91" s="88">
        <f>235+74</f>
        <v>309</v>
      </c>
      <c r="M91" s="88">
        <v>1023</v>
      </c>
      <c r="N91" s="88">
        <v>6792</v>
      </c>
      <c r="O91" s="88">
        <v>4211</v>
      </c>
      <c r="P91" s="88">
        <v>3109</v>
      </c>
      <c r="Q91" s="190">
        <f t="shared" si="4"/>
        <v>0.7383044407504156</v>
      </c>
    </row>
    <row r="92" spans="1:17" s="99" customFormat="1" ht="26.25">
      <c r="A92" s="144">
        <v>58</v>
      </c>
      <c r="B92" s="233" t="s">
        <v>246</v>
      </c>
      <c r="C92" s="88">
        <v>24534</v>
      </c>
      <c r="D92" s="245">
        <v>2684200</v>
      </c>
      <c r="E92" s="245">
        <v>4230</v>
      </c>
      <c r="F92" s="88">
        <v>23278</v>
      </c>
      <c r="G92" s="88">
        <v>531</v>
      </c>
      <c r="H92" s="88">
        <v>33873</v>
      </c>
      <c r="I92" s="245">
        <v>6712480</v>
      </c>
      <c r="J92" s="221">
        <f t="shared" si="3"/>
        <v>3364</v>
      </c>
      <c r="K92" s="88">
        <v>2858</v>
      </c>
      <c r="L92" s="88">
        <f>398+108</f>
        <v>506</v>
      </c>
      <c r="M92" s="88">
        <v>17711</v>
      </c>
      <c r="N92" s="88">
        <v>50164</v>
      </c>
      <c r="O92" s="88">
        <v>4699</v>
      </c>
      <c r="P92" s="88">
        <v>2872</v>
      </c>
      <c r="Q92" s="190">
        <f t="shared" si="4"/>
        <v>0.6111938710363907</v>
      </c>
    </row>
    <row r="93" spans="1:17" s="99" customFormat="1" ht="18" customHeight="1">
      <c r="A93" s="144">
        <v>59</v>
      </c>
      <c r="B93" s="233" t="s">
        <v>247</v>
      </c>
      <c r="C93" s="88">
        <v>20831</v>
      </c>
      <c r="D93" s="88">
        <v>996493</v>
      </c>
      <c r="E93" s="88">
        <v>158</v>
      </c>
      <c r="F93" s="88">
        <v>30316</v>
      </c>
      <c r="G93" s="88">
        <v>582</v>
      </c>
      <c r="H93" s="88">
        <v>99621</v>
      </c>
      <c r="I93" s="88">
        <v>633469</v>
      </c>
      <c r="J93" s="221">
        <f t="shared" si="3"/>
        <v>851</v>
      </c>
      <c r="K93" s="88">
        <v>698</v>
      </c>
      <c r="L93" s="88">
        <f>116+37</f>
        <v>153</v>
      </c>
      <c r="M93" s="88">
        <v>912</v>
      </c>
      <c r="N93" s="88">
        <v>7204</v>
      </c>
      <c r="O93" s="88">
        <v>2878</v>
      </c>
      <c r="P93" s="88">
        <v>1667</v>
      </c>
      <c r="Q93" s="190">
        <f t="shared" si="4"/>
        <v>0.579221681723419</v>
      </c>
    </row>
    <row r="94" spans="1:17" s="99" customFormat="1" ht="26.25">
      <c r="A94" s="144">
        <v>60</v>
      </c>
      <c r="B94" s="233" t="s">
        <v>248</v>
      </c>
      <c r="C94" s="88">
        <v>9755</v>
      </c>
      <c r="D94" s="245">
        <v>9137633</v>
      </c>
      <c r="E94" s="88">
        <v>273</v>
      </c>
      <c r="F94" s="88">
        <v>20747</v>
      </c>
      <c r="G94" s="88">
        <v>1137</v>
      </c>
      <c r="H94" s="88">
        <v>185723</v>
      </c>
      <c r="I94" s="245">
        <v>1781722</v>
      </c>
      <c r="J94" s="221">
        <f t="shared" si="3"/>
        <v>3127</v>
      </c>
      <c r="K94" s="88">
        <v>2863</v>
      </c>
      <c r="L94" s="88">
        <f>198+66</f>
        <v>264</v>
      </c>
      <c r="M94" s="88">
        <v>2095</v>
      </c>
      <c r="N94" s="88">
        <v>12767</v>
      </c>
      <c r="O94" s="88">
        <v>3398</v>
      </c>
      <c r="P94" s="88">
        <v>2542</v>
      </c>
      <c r="Q94" s="190">
        <f t="shared" si="4"/>
        <v>0.7480871100647439</v>
      </c>
    </row>
    <row r="95" spans="1:17" s="99" customFormat="1" ht="18" customHeight="1">
      <c r="A95" s="144">
        <v>61</v>
      </c>
      <c r="B95" s="233" t="s">
        <v>249</v>
      </c>
      <c r="C95" s="88">
        <v>14831</v>
      </c>
      <c r="D95" s="88">
        <v>449501</v>
      </c>
      <c r="E95" s="245">
        <v>1305</v>
      </c>
      <c r="F95" s="88">
        <v>30703</v>
      </c>
      <c r="G95" s="88">
        <v>1063</v>
      </c>
      <c r="H95" s="88">
        <v>40239</v>
      </c>
      <c r="I95" s="88">
        <v>105274</v>
      </c>
      <c r="J95" s="221">
        <f t="shared" si="3"/>
        <v>1708</v>
      </c>
      <c r="K95" s="332">
        <v>1328</v>
      </c>
      <c r="L95" s="331">
        <v>380</v>
      </c>
      <c r="M95" s="88">
        <v>847</v>
      </c>
      <c r="N95" s="88">
        <v>6387</v>
      </c>
      <c r="O95" s="88">
        <v>2707</v>
      </c>
      <c r="P95" s="88">
        <v>2304</v>
      </c>
      <c r="Q95" s="190">
        <f t="shared" si="4"/>
        <v>0.8511267085334319</v>
      </c>
    </row>
    <row r="96" spans="1:17" s="99" customFormat="1" ht="20.25" customHeight="1">
      <c r="A96" s="144">
        <v>62</v>
      </c>
      <c r="B96" s="233" t="s">
        <v>250</v>
      </c>
      <c r="C96" s="88">
        <v>5959</v>
      </c>
      <c r="D96" s="88">
        <v>644640</v>
      </c>
      <c r="E96" s="88">
        <v>408</v>
      </c>
      <c r="F96" s="88">
        <v>9535</v>
      </c>
      <c r="G96" s="88">
        <v>39</v>
      </c>
      <c r="H96" s="88">
        <v>2130</v>
      </c>
      <c r="I96" s="88">
        <v>329009</v>
      </c>
      <c r="J96" s="221">
        <f t="shared" si="3"/>
        <v>3484</v>
      </c>
      <c r="K96" s="88">
        <v>3209</v>
      </c>
      <c r="L96" s="88">
        <f>173+102</f>
        <v>275</v>
      </c>
      <c r="M96" s="88">
        <v>1495</v>
      </c>
      <c r="N96" s="88">
        <v>8692</v>
      </c>
      <c r="O96" s="88">
        <v>2324</v>
      </c>
      <c r="P96" s="88">
        <v>1572</v>
      </c>
      <c r="Q96" s="190">
        <f t="shared" si="4"/>
        <v>0.6764199655765921</v>
      </c>
    </row>
    <row r="97" spans="1:17" s="39" customFormat="1" ht="18" customHeight="1">
      <c r="A97" s="144">
        <v>63</v>
      </c>
      <c r="B97" s="233" t="s">
        <v>251</v>
      </c>
      <c r="C97" s="88">
        <v>5146</v>
      </c>
      <c r="D97" s="88">
        <v>336929</v>
      </c>
      <c r="E97" s="88">
        <v>180</v>
      </c>
      <c r="F97" s="88">
        <v>6112</v>
      </c>
      <c r="G97" s="88">
        <v>70</v>
      </c>
      <c r="H97" s="88">
        <v>963</v>
      </c>
      <c r="I97" s="88">
        <v>63869</v>
      </c>
      <c r="J97" s="221">
        <f t="shared" si="3"/>
        <v>2002</v>
      </c>
      <c r="K97" s="88">
        <v>1625</v>
      </c>
      <c r="L97" s="88">
        <f>329+48</f>
        <v>377</v>
      </c>
      <c r="M97" s="88">
        <v>2241</v>
      </c>
      <c r="N97" s="88">
        <v>11917</v>
      </c>
      <c r="O97" s="88">
        <v>2359</v>
      </c>
      <c r="P97" s="88">
        <v>2017</v>
      </c>
      <c r="Q97" s="190">
        <f t="shared" si="4"/>
        <v>0.8550233149639678</v>
      </c>
    </row>
    <row r="98" spans="11:16" ht="12.75">
      <c r="K98" s="20"/>
      <c r="L98" s="20"/>
      <c r="M98" s="20"/>
      <c r="N98" s="20"/>
      <c r="O98" s="20"/>
      <c r="P98" s="20"/>
    </row>
    <row r="99" spans="11:16" ht="12.75">
      <c r="K99" s="20"/>
      <c r="L99" s="20"/>
      <c r="M99" s="20"/>
      <c r="N99" s="20"/>
      <c r="O99" s="20"/>
      <c r="P99" s="20"/>
    </row>
    <row r="100" spans="1:19" s="153" customFormat="1" ht="12.75">
      <c r="A100" s="43"/>
      <c r="B100" s="43" t="s">
        <v>254</v>
      </c>
      <c r="C100" s="32" t="s">
        <v>311</v>
      </c>
      <c r="D100" s="43"/>
      <c r="E100" s="43"/>
      <c r="F100" s="43"/>
      <c r="G100" s="43"/>
      <c r="H100" s="43"/>
      <c r="I100" s="43"/>
      <c r="J100" s="43"/>
      <c r="K100" s="151"/>
      <c r="L100" s="43"/>
      <c r="M100" s="43"/>
      <c r="N100" s="43"/>
      <c r="O100" s="43"/>
      <c r="P100" s="43"/>
      <c r="Q100" s="43"/>
      <c r="R100" s="43"/>
      <c r="S100" s="152"/>
    </row>
    <row r="101" spans="1:19" s="153" customFormat="1" ht="12.75">
      <c r="A101" s="43"/>
      <c r="B101" s="43" t="s">
        <v>313</v>
      </c>
      <c r="C101" s="32"/>
      <c r="D101" s="43"/>
      <c r="E101" s="43"/>
      <c r="F101" s="43"/>
      <c r="G101" s="43"/>
      <c r="H101" s="43"/>
      <c r="I101" s="43"/>
      <c r="J101" s="43"/>
      <c r="K101" s="151"/>
      <c r="L101" s="43"/>
      <c r="M101" s="43"/>
      <c r="N101" s="43"/>
      <c r="O101" s="43"/>
      <c r="P101" s="43"/>
      <c r="Q101" s="43"/>
      <c r="R101" s="43"/>
      <c r="S101" s="152"/>
    </row>
    <row r="102" spans="1:18" s="150" customFormat="1" ht="12.75">
      <c r="A102" s="43"/>
      <c r="B102" s="43" t="s">
        <v>290</v>
      </c>
      <c r="C102" s="43" t="s">
        <v>291</v>
      </c>
      <c r="E102" s="43"/>
      <c r="F102" s="43"/>
      <c r="G102" s="43"/>
      <c r="H102" s="43"/>
      <c r="I102" s="43"/>
      <c r="J102" s="43"/>
      <c r="K102" s="151"/>
      <c r="L102" s="43"/>
      <c r="M102" s="43"/>
      <c r="N102" s="43"/>
      <c r="O102" s="43"/>
      <c r="P102" s="43"/>
      <c r="Q102" s="43"/>
      <c r="R102" s="43"/>
    </row>
    <row r="103" spans="1:17" s="150" customFormat="1" ht="12.75">
      <c r="A103" s="43"/>
      <c r="B103" s="156"/>
      <c r="C103" s="156" t="s">
        <v>281</v>
      </c>
      <c r="D103" s="157"/>
      <c r="E103" s="156"/>
      <c r="F103" s="156"/>
      <c r="G103" s="156"/>
      <c r="H103" s="156"/>
      <c r="I103" s="156"/>
      <c r="J103" s="156"/>
      <c r="K103" s="151"/>
      <c r="L103" s="43"/>
      <c r="M103" s="43"/>
      <c r="N103" s="43"/>
      <c r="O103" s="43"/>
      <c r="P103" s="43"/>
      <c r="Q103" s="43"/>
    </row>
    <row r="104" spans="1:17" s="150" customFormat="1" ht="12.75">
      <c r="A104" s="43"/>
      <c r="B104" s="227"/>
      <c r="C104" s="43" t="s">
        <v>258</v>
      </c>
      <c r="E104" s="43"/>
      <c r="F104" s="43"/>
      <c r="G104" s="43"/>
      <c r="H104" s="43"/>
      <c r="I104" s="43"/>
      <c r="J104" s="43"/>
      <c r="K104" s="151"/>
      <c r="L104" s="43"/>
      <c r="M104" s="43"/>
      <c r="N104" s="43"/>
      <c r="O104" s="43"/>
      <c r="P104" s="43"/>
      <c r="Q104" s="43"/>
    </row>
    <row r="105" spans="1:17" s="150" customFormat="1" ht="12.75">
      <c r="A105" s="43"/>
      <c r="B105" s="251"/>
      <c r="C105" s="43" t="s">
        <v>285</v>
      </c>
      <c r="D105" s="43"/>
      <c r="E105" s="43"/>
      <c r="F105" s="43"/>
      <c r="G105" s="43"/>
      <c r="H105" s="43"/>
      <c r="I105" s="43"/>
      <c r="J105" s="43"/>
      <c r="K105" s="43"/>
      <c r="L105" s="43"/>
      <c r="M105" s="43"/>
      <c r="N105" s="43"/>
      <c r="O105" s="43"/>
      <c r="P105" s="43"/>
      <c r="Q105" s="43"/>
    </row>
    <row r="106" spans="1:17" s="150" customFormat="1" ht="12.75">
      <c r="A106" s="43"/>
      <c r="B106" s="228"/>
      <c r="C106" s="43" t="s">
        <v>286</v>
      </c>
      <c r="D106" s="43"/>
      <c r="E106" s="43"/>
      <c r="F106" s="43"/>
      <c r="G106" s="43"/>
      <c r="H106" s="43"/>
      <c r="I106" s="43"/>
      <c r="J106" s="43"/>
      <c r="K106" s="43"/>
      <c r="L106" s="43"/>
      <c r="M106" s="43"/>
      <c r="N106" s="43"/>
      <c r="O106" s="43"/>
      <c r="P106" s="43"/>
      <c r="Q106" s="43"/>
    </row>
    <row r="107" spans="2:3" ht="12.75">
      <c r="B107" s="252"/>
      <c r="C107" s="43" t="s">
        <v>288</v>
      </c>
    </row>
    <row r="108" spans="1:20" s="153" customFormat="1" ht="12.75">
      <c r="A108" s="43"/>
      <c r="B108" s="43"/>
      <c r="C108" s="32"/>
      <c r="D108" s="43"/>
      <c r="E108" s="43"/>
      <c r="F108" s="43"/>
      <c r="G108" s="43"/>
      <c r="H108" s="43"/>
      <c r="I108" s="43"/>
      <c r="J108" s="43"/>
      <c r="K108" s="151"/>
      <c r="L108" s="43"/>
      <c r="M108" s="43"/>
      <c r="N108" s="43"/>
      <c r="O108" s="43"/>
      <c r="P108" s="43"/>
      <c r="Q108" s="43"/>
      <c r="R108" s="43"/>
      <c r="S108" s="152"/>
      <c r="T108" s="152"/>
    </row>
    <row r="109" spans="1:20" s="153" customFormat="1" ht="12.75">
      <c r="A109" s="43"/>
      <c r="B109" s="43" t="s">
        <v>308</v>
      </c>
      <c r="C109" s="32"/>
      <c r="D109" s="43"/>
      <c r="E109" s="43"/>
      <c r="F109" s="43"/>
      <c r="G109" s="43"/>
      <c r="H109" s="43"/>
      <c r="I109" s="43"/>
      <c r="J109" s="43"/>
      <c r="K109" s="151"/>
      <c r="L109" s="43"/>
      <c r="M109" s="43"/>
      <c r="N109" s="43"/>
      <c r="O109" s="43"/>
      <c r="P109" s="43"/>
      <c r="Q109" s="43"/>
      <c r="R109" s="43"/>
      <c r="S109" s="152"/>
      <c r="T109" s="152"/>
    </row>
    <row r="110" spans="1:20" s="153" customFormat="1" ht="12.75">
      <c r="A110" s="43"/>
      <c r="B110" s="43" t="s">
        <v>309</v>
      </c>
      <c r="C110" s="32"/>
      <c r="D110" s="43"/>
      <c r="E110" s="43"/>
      <c r="F110" s="43"/>
      <c r="G110" s="43"/>
      <c r="H110" s="43"/>
      <c r="I110" s="43"/>
      <c r="J110" s="43"/>
      <c r="K110" s="151"/>
      <c r="L110" s="43"/>
      <c r="M110" s="43"/>
      <c r="N110" s="43"/>
      <c r="O110" s="43"/>
      <c r="P110" s="43"/>
      <c r="Q110" s="43"/>
      <c r="R110" s="43"/>
      <c r="S110" s="152"/>
      <c r="T110" s="152"/>
    </row>
    <row r="111" spans="1:20" s="153" customFormat="1" ht="12.75">
      <c r="A111" s="43"/>
      <c r="B111" s="43" t="s">
        <v>310</v>
      </c>
      <c r="C111" s="32"/>
      <c r="D111" s="43"/>
      <c r="E111" s="43"/>
      <c r="F111" s="43"/>
      <c r="G111" s="43"/>
      <c r="H111" s="43"/>
      <c r="I111" s="43"/>
      <c r="J111" s="43"/>
      <c r="K111" s="151"/>
      <c r="L111" s="43"/>
      <c r="M111" s="43"/>
      <c r="N111" s="43"/>
      <c r="O111" s="43"/>
      <c r="P111" s="43"/>
      <c r="Q111" s="43"/>
      <c r="R111" s="43"/>
      <c r="S111" s="152"/>
      <c r="T111" s="152"/>
    </row>
    <row r="112" spans="1:20" s="153" customFormat="1" ht="12.75">
      <c r="A112" s="43"/>
      <c r="B112" s="43"/>
      <c r="C112" s="32"/>
      <c r="D112" s="43"/>
      <c r="E112" s="43"/>
      <c r="F112" s="43"/>
      <c r="G112" s="43"/>
      <c r="H112" s="43"/>
      <c r="I112" s="43"/>
      <c r="J112" s="43"/>
      <c r="K112" s="151"/>
      <c r="L112" s="43"/>
      <c r="M112" s="43"/>
      <c r="N112" s="43"/>
      <c r="O112" s="43"/>
      <c r="P112" s="43"/>
      <c r="Q112" s="43"/>
      <c r="R112" s="43"/>
      <c r="S112" s="152"/>
      <c r="T112" s="152"/>
    </row>
  </sheetData>
  <sheetProtection/>
  <mergeCells count="30">
    <mergeCell ref="A3:Q3"/>
    <mergeCell ref="A4:Q4"/>
    <mergeCell ref="A13:B13"/>
    <mergeCell ref="A12:B12"/>
    <mergeCell ref="Q7:Q10"/>
    <mergeCell ref="G9:G10"/>
    <mergeCell ref="J9:J10"/>
    <mergeCell ref="E8:F8"/>
    <mergeCell ref="J7:L8"/>
    <mergeCell ref="K9:L9"/>
    <mergeCell ref="N7:N10"/>
    <mergeCell ref="A1:B1"/>
    <mergeCell ref="C8:D8"/>
    <mergeCell ref="A2:P2"/>
    <mergeCell ref="A6:B10"/>
    <mergeCell ref="C6:L6"/>
    <mergeCell ref="M6:Q6"/>
    <mergeCell ref="O7:O10"/>
    <mergeCell ref="P7:P10"/>
    <mergeCell ref="M7:M10"/>
    <mergeCell ref="A34:B34"/>
    <mergeCell ref="G8:H8"/>
    <mergeCell ref="H9:H10"/>
    <mergeCell ref="I7:I10"/>
    <mergeCell ref="A11:B11"/>
    <mergeCell ref="E9:E10"/>
    <mergeCell ref="F9:F10"/>
    <mergeCell ref="C9:C10"/>
    <mergeCell ref="D9:D10"/>
    <mergeCell ref="C7:H7"/>
  </mergeCells>
  <printOptions/>
  <pageMargins left="0.35" right="0.15" top="1" bottom="0.5" header="0.5" footer="0.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W114"/>
  <sheetViews>
    <sheetView view="pageLayout" zoomScale="80" zoomScalePageLayoutView="80" workbookViewId="0" topLeftCell="A73">
      <selection activeCell="A4" sqref="A4:T4"/>
    </sheetView>
  </sheetViews>
  <sheetFormatPr defaultColWidth="9.140625" defaultRowHeight="12.75"/>
  <cols>
    <col min="1" max="1" width="3.8515625" style="0" customWidth="1"/>
    <col min="2" max="2" width="11.7109375" style="0" customWidth="1"/>
    <col min="3" max="3" width="13.00390625" style="53" customWidth="1"/>
    <col min="4" max="4" width="11.7109375" style="0" customWidth="1"/>
    <col min="5" max="5" width="19.57421875" style="310" customWidth="1"/>
    <col min="6" max="6" width="12.421875" style="0" customWidth="1"/>
    <col min="7" max="7" width="12.28125" style="0" customWidth="1"/>
    <col min="8" max="8" width="10.421875" style="0" customWidth="1"/>
    <col min="9" max="9" width="10.00390625" style="0" customWidth="1"/>
    <col min="10" max="10" width="9.28125" style="0" customWidth="1"/>
    <col min="11" max="11" width="8.28125" style="0" customWidth="1"/>
    <col min="12" max="12" width="8.8515625" style="0" customWidth="1"/>
    <col min="13" max="13" width="8.421875" style="0" customWidth="1"/>
    <col min="14" max="14" width="7.57421875" style="0" customWidth="1"/>
    <col min="15" max="15" width="5.8515625" style="0" customWidth="1"/>
    <col min="16" max="16" width="8.140625" style="0" customWidth="1"/>
    <col min="17" max="17" width="8.57421875" style="0" customWidth="1"/>
    <col min="18" max="18" width="5.57421875" style="0" customWidth="1"/>
    <col min="19" max="19" width="8.00390625" style="0" customWidth="1"/>
    <col min="20" max="20" width="6.8515625" style="0" customWidth="1"/>
  </cols>
  <sheetData>
    <row r="1" spans="1:9" ht="18.75">
      <c r="A1" s="79" t="s">
        <v>7</v>
      </c>
      <c r="B1" s="79"/>
      <c r="C1" s="67"/>
      <c r="D1" s="40"/>
      <c r="E1" s="308"/>
      <c r="F1" s="37"/>
      <c r="G1" s="37"/>
      <c r="H1" s="37"/>
      <c r="I1" s="37"/>
    </row>
    <row r="2" spans="1:18" ht="18.75">
      <c r="A2" s="438" t="s">
        <v>70</v>
      </c>
      <c r="B2" s="438"/>
      <c r="C2" s="438"/>
      <c r="D2" s="438"/>
      <c r="E2" s="438"/>
      <c r="F2" s="438"/>
      <c r="G2" s="438"/>
      <c r="H2" s="438"/>
      <c r="I2" s="438"/>
      <c r="J2" s="438"/>
      <c r="K2" s="438"/>
      <c r="L2" s="438"/>
      <c r="M2" s="438"/>
      <c r="N2" s="438"/>
      <c r="O2" s="438"/>
      <c r="P2" s="438"/>
      <c r="Q2" s="438"/>
      <c r="R2" s="438"/>
    </row>
    <row r="3" spans="1:20" ht="20.25" customHeight="1">
      <c r="A3" s="461" t="s">
        <v>146</v>
      </c>
      <c r="B3" s="461"/>
      <c r="C3" s="461"/>
      <c r="D3" s="461"/>
      <c r="E3" s="461"/>
      <c r="F3" s="461"/>
      <c r="G3" s="461"/>
      <c r="H3" s="461"/>
      <c r="I3" s="461"/>
      <c r="J3" s="461"/>
      <c r="K3" s="461"/>
      <c r="L3" s="461"/>
      <c r="M3" s="461"/>
      <c r="N3" s="461"/>
      <c r="O3" s="461"/>
      <c r="P3" s="461"/>
      <c r="Q3" s="461"/>
      <c r="R3" s="461"/>
      <c r="S3" s="461"/>
      <c r="T3" s="461"/>
    </row>
    <row r="4" spans="1:20" ht="20.25" customHeight="1">
      <c r="A4" s="438" t="s">
        <v>298</v>
      </c>
      <c r="B4" s="438"/>
      <c r="C4" s="438"/>
      <c r="D4" s="438"/>
      <c r="E4" s="438"/>
      <c r="F4" s="438"/>
      <c r="G4" s="438"/>
      <c r="H4" s="438"/>
      <c r="I4" s="438"/>
      <c r="J4" s="438"/>
      <c r="K4" s="438"/>
      <c r="L4" s="438"/>
      <c r="M4" s="438"/>
      <c r="N4" s="438"/>
      <c r="O4" s="438"/>
      <c r="P4" s="438"/>
      <c r="Q4" s="438"/>
      <c r="R4" s="438"/>
      <c r="S4" s="438"/>
      <c r="T4" s="438"/>
    </row>
    <row r="5" spans="1:8" ht="20.25" customHeight="1">
      <c r="A5" s="41"/>
      <c r="B5" s="41"/>
      <c r="C5" s="68"/>
      <c r="D5" s="41"/>
      <c r="E5" s="309"/>
      <c r="F5" s="41"/>
      <c r="G5" s="41"/>
      <c r="H5" s="41"/>
    </row>
    <row r="6" spans="1:20" s="45" customFormat="1" ht="15.75" customHeight="1">
      <c r="A6" s="459"/>
      <c r="B6" s="459"/>
      <c r="C6" s="456" t="s">
        <v>5</v>
      </c>
      <c r="D6" s="457"/>
      <c r="E6" s="458"/>
      <c r="F6" s="455" t="s">
        <v>2</v>
      </c>
      <c r="G6" s="455"/>
      <c r="H6" s="455"/>
      <c r="I6" s="455"/>
      <c r="J6" s="455"/>
      <c r="K6" s="455"/>
      <c r="L6" s="455"/>
      <c r="M6" s="462" t="s">
        <v>67</v>
      </c>
      <c r="N6" s="462"/>
      <c r="O6" s="462"/>
      <c r="P6" s="462"/>
      <c r="Q6" s="462"/>
      <c r="R6" s="462"/>
      <c r="S6" s="427" t="s">
        <v>161</v>
      </c>
      <c r="T6" s="427"/>
    </row>
    <row r="7" spans="1:20" s="32" customFormat="1" ht="15.75" customHeight="1">
      <c r="A7" s="459"/>
      <c r="B7" s="459"/>
      <c r="C7" s="396" t="s">
        <v>102</v>
      </c>
      <c r="D7" s="399" t="s">
        <v>103</v>
      </c>
      <c r="E7" s="453" t="s">
        <v>60</v>
      </c>
      <c r="F7" s="399" t="s">
        <v>61</v>
      </c>
      <c r="G7" s="399" t="s">
        <v>62</v>
      </c>
      <c r="H7" s="460" t="s">
        <v>68</v>
      </c>
      <c r="I7" s="460"/>
      <c r="J7" s="460"/>
      <c r="K7" s="399" t="s">
        <v>63</v>
      </c>
      <c r="L7" s="399"/>
      <c r="M7" s="454" t="s">
        <v>9</v>
      </c>
      <c r="N7" s="399" t="s">
        <v>44</v>
      </c>
      <c r="O7" s="399"/>
      <c r="P7" s="399"/>
      <c r="Q7" s="399"/>
      <c r="R7" s="399"/>
      <c r="S7" s="427" t="s">
        <v>266</v>
      </c>
      <c r="T7" s="427" t="s">
        <v>267</v>
      </c>
    </row>
    <row r="8" spans="1:20" s="32" customFormat="1" ht="24.75" customHeight="1">
      <c r="A8" s="459"/>
      <c r="B8" s="459"/>
      <c r="C8" s="397"/>
      <c r="D8" s="399"/>
      <c r="E8" s="453"/>
      <c r="F8" s="399"/>
      <c r="G8" s="399"/>
      <c r="H8" s="399" t="s">
        <v>9</v>
      </c>
      <c r="I8" s="460" t="s">
        <v>44</v>
      </c>
      <c r="J8" s="460"/>
      <c r="K8" s="399"/>
      <c r="L8" s="399"/>
      <c r="M8" s="454"/>
      <c r="N8" s="399" t="s">
        <v>64</v>
      </c>
      <c r="O8" s="399" t="s">
        <v>65</v>
      </c>
      <c r="P8" s="399"/>
      <c r="Q8" s="399"/>
      <c r="R8" s="399"/>
      <c r="S8" s="427"/>
      <c r="T8" s="427"/>
    </row>
    <row r="9" spans="1:20" s="32" customFormat="1" ht="24.75" customHeight="1">
      <c r="A9" s="459"/>
      <c r="B9" s="459"/>
      <c r="C9" s="397"/>
      <c r="D9" s="399"/>
      <c r="E9" s="453"/>
      <c r="F9" s="399"/>
      <c r="G9" s="399"/>
      <c r="H9" s="399"/>
      <c r="I9" s="399" t="s">
        <v>3</v>
      </c>
      <c r="J9" s="399" t="s">
        <v>4</v>
      </c>
      <c r="K9" s="396" t="s">
        <v>9</v>
      </c>
      <c r="L9" s="399" t="s">
        <v>104</v>
      </c>
      <c r="M9" s="454"/>
      <c r="N9" s="399"/>
      <c r="O9" s="399" t="s">
        <v>9</v>
      </c>
      <c r="P9" s="399" t="s">
        <v>66</v>
      </c>
      <c r="Q9" s="399"/>
      <c r="R9" s="399"/>
      <c r="S9" s="427"/>
      <c r="T9" s="427"/>
    </row>
    <row r="10" spans="1:20" s="32" customFormat="1" ht="86.25" customHeight="1">
      <c r="A10" s="459"/>
      <c r="B10" s="459"/>
      <c r="C10" s="403"/>
      <c r="D10" s="399"/>
      <c r="E10" s="453"/>
      <c r="F10" s="399"/>
      <c r="G10" s="399"/>
      <c r="H10" s="399"/>
      <c r="I10" s="399"/>
      <c r="J10" s="399"/>
      <c r="K10" s="403"/>
      <c r="L10" s="399"/>
      <c r="M10" s="454"/>
      <c r="N10" s="399"/>
      <c r="O10" s="399"/>
      <c r="P10" s="50" t="s">
        <v>22</v>
      </c>
      <c r="Q10" s="50" t="s">
        <v>23</v>
      </c>
      <c r="R10" s="50" t="s">
        <v>24</v>
      </c>
      <c r="S10" s="427"/>
      <c r="T10" s="427"/>
    </row>
    <row r="11" spans="1:20" s="32" customFormat="1" ht="12.75">
      <c r="A11" s="416" t="s">
        <v>40</v>
      </c>
      <c r="B11" s="418"/>
      <c r="C11" s="58">
        <v>1</v>
      </c>
      <c r="D11" s="58">
        <v>2</v>
      </c>
      <c r="E11" s="58">
        <v>3</v>
      </c>
      <c r="F11" s="58">
        <v>4</v>
      </c>
      <c r="G11" s="58">
        <v>5</v>
      </c>
      <c r="H11" s="58">
        <v>6</v>
      </c>
      <c r="I11" s="58">
        <v>7</v>
      </c>
      <c r="J11" s="58">
        <v>8</v>
      </c>
      <c r="K11" s="58">
        <v>9</v>
      </c>
      <c r="L11" s="58">
        <v>10</v>
      </c>
      <c r="M11" s="58">
        <v>11</v>
      </c>
      <c r="N11" s="58">
        <v>12</v>
      </c>
      <c r="O11" s="58">
        <v>13</v>
      </c>
      <c r="P11" s="58">
        <v>14</v>
      </c>
      <c r="Q11" s="58">
        <v>15</v>
      </c>
      <c r="R11" s="58">
        <v>16</v>
      </c>
      <c r="S11" s="58">
        <v>17</v>
      </c>
      <c r="T11" s="58">
        <v>18</v>
      </c>
    </row>
    <row r="12" spans="1:20" ht="29.25" customHeight="1">
      <c r="A12" s="452" t="s">
        <v>95</v>
      </c>
      <c r="B12" s="452"/>
      <c r="C12" s="134">
        <f aca="true" t="shared" si="0" ref="C12:T12">SUM(C13:C75)</f>
        <v>135189100</v>
      </c>
      <c r="D12" s="134">
        <f t="shared" si="0"/>
        <v>3284041</v>
      </c>
      <c r="E12" s="380">
        <f t="shared" si="0"/>
        <v>3382002616.6694155</v>
      </c>
      <c r="F12" s="134">
        <f t="shared" si="0"/>
        <v>2018801</v>
      </c>
      <c r="G12" s="134">
        <f t="shared" si="0"/>
        <v>441253</v>
      </c>
      <c r="H12" s="134">
        <f t="shared" si="0"/>
        <v>839860</v>
      </c>
      <c r="I12" s="134">
        <f t="shared" si="0"/>
        <v>827283</v>
      </c>
      <c r="J12" s="134">
        <f t="shared" si="0"/>
        <v>12577</v>
      </c>
      <c r="K12" s="134">
        <f t="shared" si="0"/>
        <v>6030</v>
      </c>
      <c r="L12" s="134">
        <f t="shared" si="0"/>
        <v>5859</v>
      </c>
      <c r="M12" s="134">
        <f t="shared" si="0"/>
        <v>3365</v>
      </c>
      <c r="N12" s="134">
        <f t="shared" si="0"/>
        <v>3014</v>
      </c>
      <c r="O12" s="134">
        <f t="shared" si="0"/>
        <v>351</v>
      </c>
      <c r="P12" s="134">
        <f t="shared" si="0"/>
        <v>214</v>
      </c>
      <c r="Q12" s="134">
        <f t="shared" si="0"/>
        <v>122</v>
      </c>
      <c r="R12" s="134">
        <f t="shared" si="0"/>
        <v>15</v>
      </c>
      <c r="S12" s="349">
        <f t="shared" si="0"/>
        <v>0</v>
      </c>
      <c r="T12" s="134">
        <f t="shared" si="0"/>
        <v>51</v>
      </c>
    </row>
    <row r="13" spans="1:20" ht="18" customHeight="1">
      <c r="A13" s="144">
        <v>1</v>
      </c>
      <c r="B13" s="145" t="s">
        <v>168</v>
      </c>
      <c r="C13" s="215">
        <v>597063</v>
      </c>
      <c r="D13" s="215">
        <v>17540</v>
      </c>
      <c r="E13" s="215">
        <v>2148</v>
      </c>
      <c r="F13" s="185">
        <v>48482</v>
      </c>
      <c r="G13" s="185">
        <v>16871</v>
      </c>
      <c r="H13" s="212">
        <f>I13+J13</f>
        <v>22752</v>
      </c>
      <c r="I13" s="215">
        <v>22629</v>
      </c>
      <c r="J13" s="215">
        <v>123</v>
      </c>
      <c r="K13" s="218">
        <v>165</v>
      </c>
      <c r="L13" s="215">
        <v>163</v>
      </c>
      <c r="M13" s="212">
        <f>N13+O13</f>
        <v>56</v>
      </c>
      <c r="N13" s="215">
        <v>54</v>
      </c>
      <c r="O13" s="212">
        <f>P13+Q13+R13</f>
        <v>2</v>
      </c>
      <c r="P13" s="215">
        <v>2</v>
      </c>
      <c r="Q13" s="342">
        <v>0</v>
      </c>
      <c r="R13" s="342">
        <v>0</v>
      </c>
      <c r="S13" s="342">
        <v>0</v>
      </c>
      <c r="T13" s="215">
        <v>13</v>
      </c>
    </row>
    <row r="14" spans="1:20" ht="26.25">
      <c r="A14" s="144">
        <v>2</v>
      </c>
      <c r="B14" s="145" t="s">
        <v>253</v>
      </c>
      <c r="C14" s="215">
        <v>738331</v>
      </c>
      <c r="D14" s="215">
        <v>47887</v>
      </c>
      <c r="E14" s="215">
        <v>2363</v>
      </c>
      <c r="F14" s="215">
        <v>19304</v>
      </c>
      <c r="G14" s="215">
        <v>3785</v>
      </c>
      <c r="H14" s="212">
        <f aca="true" t="shared" si="1" ref="H14:H75">I14+J14</f>
        <v>8751</v>
      </c>
      <c r="I14" s="215">
        <v>8425</v>
      </c>
      <c r="J14" s="215">
        <v>326</v>
      </c>
      <c r="K14" s="215">
        <v>99</v>
      </c>
      <c r="L14" s="215">
        <v>98</v>
      </c>
      <c r="M14" s="212">
        <f aca="true" t="shared" si="2" ref="M14:M75">N14+O14</f>
        <v>45</v>
      </c>
      <c r="N14" s="215">
        <v>21</v>
      </c>
      <c r="O14" s="212">
        <f aca="true" t="shared" si="3" ref="O14:O75">P14+Q14+R14</f>
        <v>24</v>
      </c>
      <c r="P14" s="215">
        <v>2</v>
      </c>
      <c r="Q14" s="215">
        <v>21</v>
      </c>
      <c r="R14" s="215">
        <v>1</v>
      </c>
      <c r="S14" s="342">
        <v>0</v>
      </c>
      <c r="T14" s="342">
        <v>0</v>
      </c>
    </row>
    <row r="15" spans="1:20" ht="18" customHeight="1">
      <c r="A15" s="144">
        <v>3</v>
      </c>
      <c r="B15" s="145" t="s">
        <v>169</v>
      </c>
      <c r="C15" s="215">
        <v>800000</v>
      </c>
      <c r="D15" s="215">
        <v>5898</v>
      </c>
      <c r="E15" s="215">
        <v>1668</v>
      </c>
      <c r="F15" s="185">
        <v>38005</v>
      </c>
      <c r="G15" s="185">
        <v>7027</v>
      </c>
      <c r="H15" s="212">
        <f t="shared" si="1"/>
        <v>15104</v>
      </c>
      <c r="I15" s="215">
        <v>15000</v>
      </c>
      <c r="J15" s="215">
        <v>104</v>
      </c>
      <c r="K15" s="215">
        <v>53</v>
      </c>
      <c r="L15" s="215">
        <v>46</v>
      </c>
      <c r="M15" s="212">
        <f t="shared" si="2"/>
        <v>60</v>
      </c>
      <c r="N15" s="215">
        <v>52</v>
      </c>
      <c r="O15" s="212">
        <f t="shared" si="3"/>
        <v>8</v>
      </c>
      <c r="P15" s="215">
        <v>7</v>
      </c>
      <c r="Q15" s="215">
        <v>1</v>
      </c>
      <c r="R15" s="342">
        <v>0</v>
      </c>
      <c r="S15" s="342">
        <v>0</v>
      </c>
      <c r="T15" s="342">
        <v>0</v>
      </c>
    </row>
    <row r="16" spans="1:20" ht="18" customHeight="1">
      <c r="A16" s="144">
        <v>4</v>
      </c>
      <c r="B16" s="145" t="s">
        <v>170</v>
      </c>
      <c r="C16" s="215">
        <v>193620</v>
      </c>
      <c r="D16" s="215">
        <v>336</v>
      </c>
      <c r="E16" s="215">
        <v>614.531</v>
      </c>
      <c r="F16" s="185">
        <v>6199</v>
      </c>
      <c r="G16" s="185">
        <v>1444</v>
      </c>
      <c r="H16" s="212">
        <f t="shared" si="1"/>
        <v>2629</v>
      </c>
      <c r="I16" s="215">
        <v>2623</v>
      </c>
      <c r="J16" s="215">
        <v>6</v>
      </c>
      <c r="K16" s="215">
        <v>4</v>
      </c>
      <c r="L16" s="215">
        <v>4</v>
      </c>
      <c r="M16" s="212">
        <f t="shared" si="2"/>
        <v>41</v>
      </c>
      <c r="N16" s="215">
        <v>19</v>
      </c>
      <c r="O16" s="212">
        <f t="shared" si="3"/>
        <v>22</v>
      </c>
      <c r="P16" s="215">
        <v>20</v>
      </c>
      <c r="Q16" s="215">
        <v>2</v>
      </c>
      <c r="R16" s="342">
        <v>0</v>
      </c>
      <c r="S16" s="342">
        <v>0</v>
      </c>
      <c r="T16" s="342">
        <v>0</v>
      </c>
    </row>
    <row r="17" spans="1:20" ht="18" customHeight="1">
      <c r="A17" s="144">
        <v>5</v>
      </c>
      <c r="B17" s="145" t="s">
        <v>171</v>
      </c>
      <c r="C17" s="215">
        <v>292943</v>
      </c>
      <c r="D17" s="215">
        <v>7841</v>
      </c>
      <c r="E17" s="215">
        <v>1390.546</v>
      </c>
      <c r="F17" s="215">
        <v>23594</v>
      </c>
      <c r="G17" s="215">
        <v>4431</v>
      </c>
      <c r="H17" s="212">
        <f t="shared" si="1"/>
        <v>8719</v>
      </c>
      <c r="I17" s="215">
        <v>8530</v>
      </c>
      <c r="J17" s="215">
        <v>189</v>
      </c>
      <c r="K17" s="215">
        <v>170</v>
      </c>
      <c r="L17" s="215">
        <v>167</v>
      </c>
      <c r="M17" s="212">
        <f t="shared" si="2"/>
        <v>10</v>
      </c>
      <c r="N17" s="215">
        <v>8</v>
      </c>
      <c r="O17" s="212">
        <f t="shared" si="3"/>
        <v>2</v>
      </c>
      <c r="P17" s="215">
        <v>2</v>
      </c>
      <c r="Q17" s="342">
        <v>0</v>
      </c>
      <c r="R17" s="342">
        <v>0</v>
      </c>
      <c r="S17" s="342">
        <v>0</v>
      </c>
      <c r="T17" s="342">
        <v>0</v>
      </c>
    </row>
    <row r="18" spans="1:20" ht="18" customHeight="1">
      <c r="A18" s="144">
        <v>6</v>
      </c>
      <c r="B18" s="145" t="s">
        <v>172</v>
      </c>
      <c r="C18" s="215">
        <v>68956299</v>
      </c>
      <c r="D18" s="215">
        <v>23686</v>
      </c>
      <c r="E18" s="215">
        <v>2651.44</v>
      </c>
      <c r="F18" s="215">
        <v>33320</v>
      </c>
      <c r="G18" s="215">
        <v>4781</v>
      </c>
      <c r="H18" s="212">
        <f t="shared" si="1"/>
        <v>9843</v>
      </c>
      <c r="I18" s="215">
        <v>9786</v>
      </c>
      <c r="J18" s="215">
        <v>57</v>
      </c>
      <c r="K18" s="215">
        <v>36</v>
      </c>
      <c r="L18" s="215">
        <v>29</v>
      </c>
      <c r="M18" s="212">
        <f t="shared" si="2"/>
        <v>36</v>
      </c>
      <c r="N18" s="215">
        <v>36</v>
      </c>
      <c r="O18" s="212"/>
      <c r="P18" s="335"/>
      <c r="Q18" s="335"/>
      <c r="R18" s="335"/>
      <c r="S18" s="342"/>
      <c r="T18" s="335"/>
    </row>
    <row r="19" spans="1:22" ht="18" customHeight="1">
      <c r="A19" s="144">
        <v>7</v>
      </c>
      <c r="B19" s="145" t="s">
        <v>173</v>
      </c>
      <c r="C19" s="215">
        <v>672533</v>
      </c>
      <c r="D19" s="215">
        <v>32238</v>
      </c>
      <c r="E19" s="215">
        <v>2224.162</v>
      </c>
      <c r="F19" s="215">
        <v>22930</v>
      </c>
      <c r="G19" s="215">
        <v>7849</v>
      </c>
      <c r="H19" s="212">
        <f t="shared" si="1"/>
        <v>12146</v>
      </c>
      <c r="I19" s="215">
        <v>11900</v>
      </c>
      <c r="J19" s="215">
        <v>246</v>
      </c>
      <c r="K19" s="215">
        <v>27</v>
      </c>
      <c r="L19" s="215">
        <v>19</v>
      </c>
      <c r="M19" s="212">
        <f t="shared" si="2"/>
        <v>26</v>
      </c>
      <c r="N19" s="215">
        <v>26</v>
      </c>
      <c r="O19" s="345">
        <f t="shared" si="3"/>
        <v>0</v>
      </c>
      <c r="P19" s="342">
        <v>0</v>
      </c>
      <c r="Q19" s="342">
        <v>0</v>
      </c>
      <c r="R19" s="342">
        <v>0</v>
      </c>
      <c r="S19" s="342">
        <v>0</v>
      </c>
      <c r="T19" s="215">
        <v>2</v>
      </c>
      <c r="V19">
        <f>58/2</f>
        <v>29</v>
      </c>
    </row>
    <row r="20" spans="1:20" ht="18" customHeight="1">
      <c r="A20" s="144">
        <v>8</v>
      </c>
      <c r="B20" s="145" t="s">
        <v>174</v>
      </c>
      <c r="C20" s="215">
        <v>1340316</v>
      </c>
      <c r="D20" s="215">
        <v>10422</v>
      </c>
      <c r="E20" s="215">
        <v>4736.64</v>
      </c>
      <c r="F20" s="185">
        <v>31567</v>
      </c>
      <c r="G20" s="185">
        <v>9123</v>
      </c>
      <c r="H20" s="212">
        <f t="shared" si="1"/>
        <v>14360</v>
      </c>
      <c r="I20" s="215">
        <v>14273</v>
      </c>
      <c r="J20" s="215">
        <v>87</v>
      </c>
      <c r="K20" s="215">
        <v>11</v>
      </c>
      <c r="L20" s="215">
        <v>10</v>
      </c>
      <c r="M20" s="212">
        <f t="shared" si="2"/>
        <v>22</v>
      </c>
      <c r="N20" s="215">
        <v>22</v>
      </c>
      <c r="O20" s="345">
        <f t="shared" si="3"/>
        <v>0</v>
      </c>
      <c r="P20" s="342">
        <v>0</v>
      </c>
      <c r="Q20" s="342">
        <v>0</v>
      </c>
      <c r="R20" s="342">
        <v>0</v>
      </c>
      <c r="S20" s="342">
        <v>0</v>
      </c>
      <c r="T20" s="342">
        <v>0</v>
      </c>
    </row>
    <row r="21" spans="1:20" ht="15.75">
      <c r="A21" s="144">
        <v>9</v>
      </c>
      <c r="B21" s="145" t="s">
        <v>175</v>
      </c>
      <c r="C21" s="215">
        <v>1626804</v>
      </c>
      <c r="D21" s="215">
        <v>35405</v>
      </c>
      <c r="E21" s="295">
        <v>5847102</v>
      </c>
      <c r="F21" s="185">
        <v>19814</v>
      </c>
      <c r="G21" s="185">
        <v>4422</v>
      </c>
      <c r="H21" s="212">
        <f t="shared" si="1"/>
        <v>9121</v>
      </c>
      <c r="I21" s="215">
        <v>8942</v>
      </c>
      <c r="J21" s="215">
        <v>179</v>
      </c>
      <c r="K21" s="215">
        <v>17</v>
      </c>
      <c r="L21" s="215">
        <v>16</v>
      </c>
      <c r="M21" s="212">
        <f t="shared" si="2"/>
        <v>26</v>
      </c>
      <c r="N21" s="215">
        <v>24</v>
      </c>
      <c r="O21" s="212">
        <f t="shared" si="3"/>
        <v>2</v>
      </c>
      <c r="P21" s="215">
        <v>2</v>
      </c>
      <c r="Q21" s="342">
        <v>0</v>
      </c>
      <c r="R21" s="342">
        <v>0</v>
      </c>
      <c r="S21" s="342">
        <v>0</v>
      </c>
      <c r="T21" s="342">
        <v>0</v>
      </c>
    </row>
    <row r="22" spans="1:20" ht="15.75">
      <c r="A22" s="144">
        <v>10</v>
      </c>
      <c r="B22" s="145" t="s">
        <v>176</v>
      </c>
      <c r="C22" s="215">
        <v>446948</v>
      </c>
      <c r="D22" s="215">
        <v>5698</v>
      </c>
      <c r="E22" s="295">
        <v>1674523000</v>
      </c>
      <c r="F22" s="215">
        <v>16579</v>
      </c>
      <c r="G22" s="215">
        <v>2760</v>
      </c>
      <c r="H22" s="212">
        <f t="shared" si="1"/>
        <v>7091</v>
      </c>
      <c r="I22" s="215">
        <v>7012</v>
      </c>
      <c r="J22" s="215">
        <v>79</v>
      </c>
      <c r="K22" s="215">
        <v>29</v>
      </c>
      <c r="L22" s="215">
        <v>28</v>
      </c>
      <c r="M22" s="212">
        <f t="shared" si="2"/>
        <v>11</v>
      </c>
      <c r="N22" s="215">
        <v>11</v>
      </c>
      <c r="O22" s="345">
        <f t="shared" si="3"/>
        <v>0</v>
      </c>
      <c r="P22" s="342">
        <v>0</v>
      </c>
      <c r="Q22" s="342">
        <v>0</v>
      </c>
      <c r="R22" s="342">
        <v>0</v>
      </c>
      <c r="S22" s="342">
        <v>0</v>
      </c>
      <c r="T22" s="215">
        <v>11</v>
      </c>
    </row>
    <row r="23" spans="1:23" ht="15.75">
      <c r="A23" s="144">
        <v>11</v>
      </c>
      <c r="B23" s="145" t="s">
        <v>177</v>
      </c>
      <c r="C23" s="215">
        <v>453593</v>
      </c>
      <c r="D23" s="215">
        <v>16572</v>
      </c>
      <c r="E23" s="215">
        <v>1237.3</v>
      </c>
      <c r="F23" s="185">
        <v>19421</v>
      </c>
      <c r="G23" s="185">
        <v>4356</v>
      </c>
      <c r="H23" s="212">
        <f t="shared" si="1"/>
        <v>7093</v>
      </c>
      <c r="I23" s="215">
        <v>6837</v>
      </c>
      <c r="J23" s="215">
        <v>256</v>
      </c>
      <c r="K23" s="215">
        <v>107</v>
      </c>
      <c r="L23" s="215">
        <v>107</v>
      </c>
      <c r="M23" s="212">
        <f t="shared" si="2"/>
        <v>27</v>
      </c>
      <c r="N23" s="215">
        <v>21</v>
      </c>
      <c r="O23" s="212">
        <f t="shared" si="3"/>
        <v>6</v>
      </c>
      <c r="P23" s="215">
        <v>3</v>
      </c>
      <c r="Q23" s="215">
        <v>3</v>
      </c>
      <c r="R23" s="342">
        <v>0</v>
      </c>
      <c r="S23" s="342">
        <v>0</v>
      </c>
      <c r="T23" s="342">
        <v>0</v>
      </c>
      <c r="W23">
        <f>11.5-4</f>
        <v>7.5</v>
      </c>
    </row>
    <row r="24" spans="1:20" ht="18" customHeight="1">
      <c r="A24" s="144">
        <v>12</v>
      </c>
      <c r="B24" s="145" t="s">
        <v>178</v>
      </c>
      <c r="C24" s="215">
        <v>718145</v>
      </c>
      <c r="D24" s="215">
        <v>14002</v>
      </c>
      <c r="E24" s="215">
        <v>2336.752</v>
      </c>
      <c r="F24" s="185">
        <v>39455</v>
      </c>
      <c r="G24" s="185">
        <v>5324</v>
      </c>
      <c r="H24" s="212">
        <f t="shared" si="1"/>
        <v>11391</v>
      </c>
      <c r="I24" s="215">
        <v>11245</v>
      </c>
      <c r="J24" s="215">
        <v>146</v>
      </c>
      <c r="K24" s="215">
        <v>322</v>
      </c>
      <c r="L24" s="215">
        <v>320</v>
      </c>
      <c r="M24" s="212">
        <f t="shared" si="2"/>
        <v>23</v>
      </c>
      <c r="N24" s="215">
        <v>20</v>
      </c>
      <c r="O24" s="212">
        <f t="shared" si="3"/>
        <v>3</v>
      </c>
      <c r="P24" s="215">
        <v>2</v>
      </c>
      <c r="Q24" s="215">
        <v>1</v>
      </c>
      <c r="R24" s="215"/>
      <c r="S24" s="342">
        <v>0</v>
      </c>
      <c r="T24" s="342">
        <v>0</v>
      </c>
    </row>
    <row r="25" spans="1:20" ht="18" customHeight="1">
      <c r="A25" s="144">
        <v>13</v>
      </c>
      <c r="B25" s="145" t="s">
        <v>179</v>
      </c>
      <c r="C25" s="215">
        <v>771221</v>
      </c>
      <c r="D25" s="215">
        <v>16450</v>
      </c>
      <c r="E25" s="215">
        <v>3493.067</v>
      </c>
      <c r="F25" s="185">
        <v>24422</v>
      </c>
      <c r="G25" s="185">
        <v>5933</v>
      </c>
      <c r="H25" s="212">
        <f t="shared" si="1"/>
        <v>9161</v>
      </c>
      <c r="I25" s="215">
        <v>8713</v>
      </c>
      <c r="J25" s="215">
        <v>448</v>
      </c>
      <c r="K25" s="215">
        <v>943</v>
      </c>
      <c r="L25" s="215">
        <v>941</v>
      </c>
      <c r="M25" s="212">
        <f t="shared" si="2"/>
        <v>139</v>
      </c>
      <c r="N25" s="215">
        <v>131</v>
      </c>
      <c r="O25" s="212">
        <f t="shared" si="3"/>
        <v>8</v>
      </c>
      <c r="P25" s="215">
        <v>8</v>
      </c>
      <c r="Q25" s="342">
        <v>0</v>
      </c>
      <c r="R25" s="342">
        <v>0</v>
      </c>
      <c r="S25" s="342">
        <v>0</v>
      </c>
      <c r="T25" s="342">
        <v>0</v>
      </c>
    </row>
    <row r="26" spans="1:20" ht="18" customHeight="1">
      <c r="A26" s="144">
        <v>14</v>
      </c>
      <c r="B26" s="145" t="s">
        <v>180</v>
      </c>
      <c r="C26" s="215">
        <v>49302</v>
      </c>
      <c r="D26" s="215"/>
      <c r="E26" s="295">
        <v>167404</v>
      </c>
      <c r="F26" s="215">
        <v>6164</v>
      </c>
      <c r="G26" s="185">
        <v>1018</v>
      </c>
      <c r="H26" s="212">
        <f t="shared" si="1"/>
        <v>2570</v>
      </c>
      <c r="I26" s="215">
        <v>2565</v>
      </c>
      <c r="J26" s="215">
        <v>5</v>
      </c>
      <c r="K26" s="215">
        <v>3</v>
      </c>
      <c r="L26" s="215">
        <v>3</v>
      </c>
      <c r="M26" s="212">
        <f t="shared" si="2"/>
        <v>4</v>
      </c>
      <c r="N26" s="215">
        <v>4</v>
      </c>
      <c r="O26" s="345">
        <f t="shared" si="3"/>
        <v>0</v>
      </c>
      <c r="P26" s="342">
        <v>0</v>
      </c>
      <c r="Q26" s="342">
        <v>0</v>
      </c>
      <c r="R26" s="342">
        <v>0</v>
      </c>
      <c r="S26" s="342">
        <v>0</v>
      </c>
      <c r="T26" s="342">
        <v>0</v>
      </c>
    </row>
    <row r="27" spans="1:20" ht="18" customHeight="1">
      <c r="A27" s="144">
        <v>15</v>
      </c>
      <c r="B27" s="145" t="s">
        <v>181</v>
      </c>
      <c r="C27" s="215">
        <f>81221+25899+98720+79152+132963+256369+59961</f>
        <v>734285</v>
      </c>
      <c r="D27" s="215">
        <f>1290+2250+4998+3698+1591+3203+685</f>
        <v>17715</v>
      </c>
      <c r="E27" s="215">
        <f>(217826000+607122100+2977321000+823721000+468410000+1506156000+996554000)/1000000</f>
        <v>7597.1101</v>
      </c>
      <c r="F27" s="185">
        <v>19652</v>
      </c>
      <c r="G27" s="185">
        <v>3980</v>
      </c>
      <c r="H27" s="212">
        <f t="shared" si="1"/>
        <v>8456</v>
      </c>
      <c r="I27" s="215">
        <v>8268</v>
      </c>
      <c r="J27" s="215">
        <v>188</v>
      </c>
      <c r="K27" s="215">
        <v>7</v>
      </c>
      <c r="L27" s="215">
        <v>5</v>
      </c>
      <c r="M27" s="212">
        <f t="shared" si="2"/>
        <v>31</v>
      </c>
      <c r="N27" s="215">
        <v>27</v>
      </c>
      <c r="O27" s="212">
        <f t="shared" si="3"/>
        <v>4</v>
      </c>
      <c r="P27" s="215">
        <v>3</v>
      </c>
      <c r="Q27" s="215">
        <v>1</v>
      </c>
      <c r="R27" s="342">
        <v>0</v>
      </c>
      <c r="S27" s="342">
        <v>0</v>
      </c>
      <c r="T27" s="215">
        <v>1</v>
      </c>
    </row>
    <row r="28" spans="1:20" ht="18" customHeight="1">
      <c r="A28" s="144">
        <v>16</v>
      </c>
      <c r="B28" s="145" t="s">
        <v>182</v>
      </c>
      <c r="C28" s="215">
        <v>4481671</v>
      </c>
      <c r="D28" s="215">
        <v>43996</v>
      </c>
      <c r="E28" s="215">
        <v>1399.966</v>
      </c>
      <c r="F28" s="185">
        <v>44197</v>
      </c>
      <c r="G28" s="185">
        <v>7479</v>
      </c>
      <c r="H28" s="212">
        <f t="shared" si="1"/>
        <v>16390</v>
      </c>
      <c r="I28" s="215">
        <v>16305</v>
      </c>
      <c r="J28" s="215">
        <v>85</v>
      </c>
      <c r="K28" s="215">
        <v>7</v>
      </c>
      <c r="L28" s="215">
        <v>7</v>
      </c>
      <c r="M28" s="212">
        <f t="shared" si="2"/>
        <v>19</v>
      </c>
      <c r="N28" s="215">
        <v>18</v>
      </c>
      <c r="O28" s="212">
        <f t="shared" si="3"/>
        <v>1</v>
      </c>
      <c r="P28" s="215">
        <v>1</v>
      </c>
      <c r="Q28" s="342">
        <v>0</v>
      </c>
      <c r="R28" s="342">
        <v>0</v>
      </c>
      <c r="S28" s="342">
        <v>0</v>
      </c>
      <c r="T28" s="342">
        <v>0</v>
      </c>
    </row>
    <row r="29" spans="1:20" ht="15.75">
      <c r="A29" s="144">
        <v>17</v>
      </c>
      <c r="B29" s="145" t="s">
        <v>183</v>
      </c>
      <c r="C29" s="215">
        <v>539</v>
      </c>
      <c r="D29" s="215">
        <v>1469</v>
      </c>
      <c r="E29" s="215">
        <v>1206</v>
      </c>
      <c r="F29" s="215">
        <v>10677</v>
      </c>
      <c r="G29" s="215">
        <v>1190</v>
      </c>
      <c r="H29" s="212">
        <f t="shared" si="1"/>
        <v>3663</v>
      </c>
      <c r="I29" s="215">
        <v>3642</v>
      </c>
      <c r="J29" s="215">
        <v>21</v>
      </c>
      <c r="K29" s="215">
        <v>2</v>
      </c>
      <c r="L29" s="215">
        <v>2</v>
      </c>
      <c r="M29" s="212">
        <f t="shared" si="2"/>
        <v>17</v>
      </c>
      <c r="N29" s="215">
        <v>17</v>
      </c>
      <c r="O29" s="345">
        <f t="shared" si="3"/>
        <v>0</v>
      </c>
      <c r="P29" s="342">
        <v>0</v>
      </c>
      <c r="Q29" s="342">
        <v>0</v>
      </c>
      <c r="R29" s="342">
        <v>0</v>
      </c>
      <c r="S29" s="342">
        <v>0</v>
      </c>
      <c r="T29" s="215"/>
    </row>
    <row r="30" spans="1:20" ht="15.75">
      <c r="A30" s="144">
        <v>18</v>
      </c>
      <c r="B30" s="145" t="s">
        <v>184</v>
      </c>
      <c r="C30" s="215">
        <v>345917</v>
      </c>
      <c r="D30" s="215">
        <v>4004</v>
      </c>
      <c r="E30" s="215">
        <v>1938</v>
      </c>
      <c r="F30" s="215">
        <v>28741</v>
      </c>
      <c r="G30" s="215">
        <v>1926</v>
      </c>
      <c r="H30" s="212">
        <f t="shared" si="1"/>
        <v>5529</v>
      </c>
      <c r="I30" s="215">
        <v>5527</v>
      </c>
      <c r="J30" s="215">
        <v>2</v>
      </c>
      <c r="K30" s="215">
        <v>1</v>
      </c>
      <c r="L30" s="342">
        <v>0</v>
      </c>
      <c r="M30" s="212">
        <f t="shared" si="2"/>
        <v>63</v>
      </c>
      <c r="N30" s="215">
        <v>63</v>
      </c>
      <c r="O30" s="345">
        <f t="shared" si="3"/>
        <v>0</v>
      </c>
      <c r="P30" s="342">
        <v>0</v>
      </c>
      <c r="Q30" s="342">
        <v>0</v>
      </c>
      <c r="R30" s="342">
        <v>0</v>
      </c>
      <c r="S30" s="342">
        <v>0</v>
      </c>
      <c r="T30" s="342">
        <v>0</v>
      </c>
    </row>
    <row r="31" spans="1:21" ht="18" customHeight="1">
      <c r="A31" s="144">
        <v>19</v>
      </c>
      <c r="B31" s="146" t="s">
        <v>202</v>
      </c>
      <c r="C31" s="185">
        <f>80146+1371242</f>
        <v>1451388</v>
      </c>
      <c r="D31" s="185">
        <f>7720+3687+40926</f>
        <v>52333</v>
      </c>
      <c r="E31" s="185">
        <f>464.026+544.998+19.86+3585.056+494.563</f>
        <v>5108.503000000001</v>
      </c>
      <c r="F31" s="185">
        <v>47810</v>
      </c>
      <c r="G31" s="185">
        <v>8418</v>
      </c>
      <c r="H31" s="212">
        <f t="shared" si="1"/>
        <v>18933</v>
      </c>
      <c r="I31" s="185">
        <v>18182</v>
      </c>
      <c r="J31" s="185">
        <v>751</v>
      </c>
      <c r="K31" s="185">
        <v>89</v>
      </c>
      <c r="L31" s="185">
        <v>88</v>
      </c>
      <c r="M31" s="212">
        <f t="shared" si="2"/>
        <v>70</v>
      </c>
      <c r="N31" s="215">
        <v>64</v>
      </c>
      <c r="O31" s="212">
        <f t="shared" si="3"/>
        <v>6</v>
      </c>
      <c r="P31" s="215">
        <v>3</v>
      </c>
      <c r="Q31" s="215">
        <v>3</v>
      </c>
      <c r="R31" s="342">
        <v>0</v>
      </c>
      <c r="S31" s="342">
        <v>0</v>
      </c>
      <c r="T31" s="342">
        <v>0</v>
      </c>
      <c r="U31" t="s">
        <v>294</v>
      </c>
    </row>
    <row r="32" spans="1:20" ht="15.75">
      <c r="A32" s="144">
        <v>20</v>
      </c>
      <c r="B32" s="146" t="s">
        <v>203</v>
      </c>
      <c r="C32" s="185">
        <v>592421</v>
      </c>
      <c r="D32" s="185">
        <v>27886</v>
      </c>
      <c r="E32" s="185">
        <v>5564.925</v>
      </c>
      <c r="F32" s="185">
        <v>35712</v>
      </c>
      <c r="G32" s="185">
        <v>9858</v>
      </c>
      <c r="H32" s="212">
        <f t="shared" si="1"/>
        <v>15694</v>
      </c>
      <c r="I32" s="185">
        <v>15408</v>
      </c>
      <c r="J32" s="185">
        <v>286</v>
      </c>
      <c r="K32" s="185">
        <v>94</v>
      </c>
      <c r="L32" s="185">
        <v>92</v>
      </c>
      <c r="M32" s="212">
        <f t="shared" si="2"/>
        <v>53</v>
      </c>
      <c r="N32" s="215">
        <v>50</v>
      </c>
      <c r="O32" s="212">
        <f t="shared" si="3"/>
        <v>3</v>
      </c>
      <c r="P32" s="215">
        <v>3</v>
      </c>
      <c r="Q32" s="342">
        <v>0</v>
      </c>
      <c r="R32" s="342">
        <v>0</v>
      </c>
      <c r="S32" s="342">
        <v>0</v>
      </c>
      <c r="T32" s="342">
        <v>0</v>
      </c>
    </row>
    <row r="33" spans="1:20" ht="18" customHeight="1">
      <c r="A33" s="144">
        <v>21</v>
      </c>
      <c r="B33" s="146" t="s">
        <v>204</v>
      </c>
      <c r="C33" s="215">
        <f>228368+34987+23139+10930+50137+4668+23145+14951+24891+11381+29874</f>
        <v>456471</v>
      </c>
      <c r="D33" s="215">
        <f>268+257+38+3360+743+105+1606+160+1621+9+43</f>
        <v>8210</v>
      </c>
      <c r="E33" s="215">
        <f>(2079129+246138+129281+203126+234706+23452+379711+106712+399021+250031+179367)/1000</f>
        <v>4230.674</v>
      </c>
      <c r="F33" s="185">
        <v>33964</v>
      </c>
      <c r="G33" s="185">
        <v>3984</v>
      </c>
      <c r="H33" s="212">
        <f t="shared" si="1"/>
        <v>10888</v>
      </c>
      <c r="I33" s="185">
        <v>10850</v>
      </c>
      <c r="J33" s="185">
        <v>38</v>
      </c>
      <c r="K33" s="185">
        <v>3</v>
      </c>
      <c r="L33" s="185">
        <v>3</v>
      </c>
      <c r="M33" s="212">
        <f t="shared" si="2"/>
        <v>12</v>
      </c>
      <c r="N33" s="185">
        <v>12</v>
      </c>
      <c r="O33" s="345">
        <f t="shared" si="3"/>
        <v>0</v>
      </c>
      <c r="P33" s="342">
        <v>0</v>
      </c>
      <c r="Q33" s="342">
        <v>0</v>
      </c>
      <c r="R33" s="342">
        <v>0</v>
      </c>
      <c r="S33" s="342">
        <v>0</v>
      </c>
      <c r="T33" s="342">
        <v>0</v>
      </c>
    </row>
    <row r="34" spans="1:23" ht="18" customHeight="1">
      <c r="A34" s="144">
        <v>22</v>
      </c>
      <c r="B34" s="146" t="s">
        <v>205</v>
      </c>
      <c r="C34" s="185">
        <v>213484</v>
      </c>
      <c r="D34" s="185"/>
      <c r="E34" s="291">
        <v>932907496</v>
      </c>
      <c r="F34" s="185">
        <v>23711</v>
      </c>
      <c r="G34" s="185">
        <v>2526</v>
      </c>
      <c r="H34" s="212">
        <f t="shared" si="1"/>
        <v>7651</v>
      </c>
      <c r="I34" s="185">
        <v>7646</v>
      </c>
      <c r="J34" s="185">
        <v>5</v>
      </c>
      <c r="K34" s="185">
        <v>29</v>
      </c>
      <c r="L34" s="185">
        <v>29</v>
      </c>
      <c r="M34" s="212">
        <f t="shared" si="2"/>
        <v>494</v>
      </c>
      <c r="N34" s="185">
        <v>494</v>
      </c>
      <c r="O34" s="345">
        <f t="shared" si="3"/>
        <v>0</v>
      </c>
      <c r="P34" s="342">
        <v>0</v>
      </c>
      <c r="Q34" s="342">
        <v>0</v>
      </c>
      <c r="R34" s="342">
        <v>0</v>
      </c>
      <c r="S34" s="342">
        <v>0</v>
      </c>
      <c r="T34" s="342">
        <v>0</v>
      </c>
      <c r="V34" s="20"/>
      <c r="W34" s="20"/>
    </row>
    <row r="35" spans="1:20" ht="18" customHeight="1">
      <c r="A35" s="144">
        <v>23</v>
      </c>
      <c r="B35" s="146" t="s">
        <v>206</v>
      </c>
      <c r="C35" s="185">
        <f>139220+60090+37961+37997+33610+28069</f>
        <v>336947</v>
      </c>
      <c r="D35" s="185">
        <f>1141+2849+1624+176+597+1029</f>
        <v>7416</v>
      </c>
      <c r="E35" s="185">
        <v>1510.165</v>
      </c>
      <c r="F35" s="185">
        <v>18428</v>
      </c>
      <c r="G35" s="185">
        <v>4591</v>
      </c>
      <c r="H35" s="212">
        <f t="shared" si="1"/>
        <v>7629</v>
      </c>
      <c r="I35" s="185">
        <v>7597</v>
      </c>
      <c r="J35" s="185">
        <v>32</v>
      </c>
      <c r="K35" s="185">
        <v>12</v>
      </c>
      <c r="L35" s="185">
        <v>11</v>
      </c>
      <c r="M35" s="212">
        <f t="shared" si="2"/>
        <v>8</v>
      </c>
      <c r="N35" s="185">
        <v>8</v>
      </c>
      <c r="O35" s="345">
        <f t="shared" si="3"/>
        <v>0</v>
      </c>
      <c r="P35" s="342">
        <v>0</v>
      </c>
      <c r="Q35" s="342">
        <v>0</v>
      </c>
      <c r="R35" s="342">
        <v>0</v>
      </c>
      <c r="S35" s="342">
        <v>0</v>
      </c>
      <c r="T35" s="342">
        <v>0</v>
      </c>
    </row>
    <row r="36" spans="1:21" ht="18" customHeight="1">
      <c r="A36" s="144">
        <v>24</v>
      </c>
      <c r="B36" s="146" t="s">
        <v>207</v>
      </c>
      <c r="C36" s="185">
        <v>5926397</v>
      </c>
      <c r="D36" s="185">
        <v>93631</v>
      </c>
      <c r="E36" s="291">
        <v>31930</v>
      </c>
      <c r="F36" s="185">
        <v>162905</v>
      </c>
      <c r="G36" s="185">
        <v>34045</v>
      </c>
      <c r="H36" s="212">
        <f t="shared" si="1"/>
        <v>61944</v>
      </c>
      <c r="I36" s="185">
        <v>61430</v>
      </c>
      <c r="J36" s="185">
        <v>514</v>
      </c>
      <c r="K36" s="185">
        <v>136</v>
      </c>
      <c r="L36" s="185">
        <v>113</v>
      </c>
      <c r="M36" s="212">
        <f t="shared" si="2"/>
        <v>110</v>
      </c>
      <c r="N36" s="185">
        <v>67</v>
      </c>
      <c r="O36" s="212">
        <f t="shared" si="3"/>
        <v>43</v>
      </c>
      <c r="P36" s="185">
        <v>15</v>
      </c>
      <c r="Q36" s="185">
        <v>28</v>
      </c>
      <c r="R36" s="342">
        <v>0</v>
      </c>
      <c r="S36" s="342">
        <v>0</v>
      </c>
      <c r="T36" s="215"/>
      <c r="U36" t="s">
        <v>295</v>
      </c>
    </row>
    <row r="37" spans="1:20" ht="18" customHeight="1">
      <c r="A37" s="144">
        <v>25</v>
      </c>
      <c r="B37" s="146" t="s">
        <v>208</v>
      </c>
      <c r="C37" s="185">
        <v>947515</v>
      </c>
      <c r="D37" s="185">
        <v>26356</v>
      </c>
      <c r="E37" s="185">
        <v>2459.805</v>
      </c>
      <c r="F37" s="185">
        <v>37113</v>
      </c>
      <c r="G37" s="185">
        <v>10066</v>
      </c>
      <c r="H37" s="212">
        <f t="shared" si="1"/>
        <v>17339</v>
      </c>
      <c r="I37" s="185">
        <v>17287</v>
      </c>
      <c r="J37" s="185">
        <v>52</v>
      </c>
      <c r="K37" s="185">
        <v>11</v>
      </c>
      <c r="L37" s="185">
        <v>10</v>
      </c>
      <c r="M37" s="212">
        <f t="shared" si="2"/>
        <v>48</v>
      </c>
      <c r="N37" s="185">
        <v>47</v>
      </c>
      <c r="O37" s="212">
        <f t="shared" si="3"/>
        <v>1</v>
      </c>
      <c r="P37" s="185">
        <v>1</v>
      </c>
      <c r="Q37" s="342">
        <v>0</v>
      </c>
      <c r="R37" s="342">
        <v>0</v>
      </c>
      <c r="S37" s="342">
        <v>0</v>
      </c>
      <c r="T37" s="342">
        <v>0</v>
      </c>
    </row>
    <row r="38" spans="1:21" ht="15.75">
      <c r="A38" s="144">
        <v>26</v>
      </c>
      <c r="B38" s="146" t="s">
        <v>209</v>
      </c>
      <c r="C38" s="185">
        <v>824273</v>
      </c>
      <c r="D38" s="185">
        <v>18523</v>
      </c>
      <c r="E38" s="185">
        <v>2526.1</v>
      </c>
      <c r="F38" s="185">
        <v>48823</v>
      </c>
      <c r="G38" s="185">
        <v>8022</v>
      </c>
      <c r="H38" s="212">
        <f t="shared" si="1"/>
        <v>18021</v>
      </c>
      <c r="I38" s="185">
        <f>1509+1694+1686+1146+1337+1556+1536+1359+1422+1062+1855+1680</f>
        <v>17842</v>
      </c>
      <c r="J38" s="185">
        <v>179</v>
      </c>
      <c r="K38" s="185">
        <v>247</v>
      </c>
      <c r="L38" s="185">
        <v>233</v>
      </c>
      <c r="M38" s="212">
        <f t="shared" si="2"/>
        <v>55</v>
      </c>
      <c r="N38" s="185">
        <v>32</v>
      </c>
      <c r="O38" s="212">
        <f t="shared" si="3"/>
        <v>23</v>
      </c>
      <c r="P38" s="185">
        <v>16</v>
      </c>
      <c r="Q38" s="185">
        <v>7</v>
      </c>
      <c r="R38" s="342">
        <v>0</v>
      </c>
      <c r="S38" s="342">
        <v>0</v>
      </c>
      <c r="T38" s="342">
        <v>0</v>
      </c>
      <c r="U38" t="s">
        <v>279</v>
      </c>
    </row>
    <row r="39" spans="1:20" ht="15.75">
      <c r="A39" s="144">
        <v>27</v>
      </c>
      <c r="B39" s="146" t="s">
        <v>210</v>
      </c>
      <c r="C39" s="185">
        <v>1614135</v>
      </c>
      <c r="D39" s="185">
        <v>23228</v>
      </c>
      <c r="E39" s="185">
        <v>6581.89</v>
      </c>
      <c r="F39" s="185">
        <v>40567</v>
      </c>
      <c r="G39" s="185">
        <v>10058</v>
      </c>
      <c r="H39" s="212">
        <f t="shared" si="1"/>
        <v>16915</v>
      </c>
      <c r="I39" s="185">
        <v>16401</v>
      </c>
      <c r="J39" s="185">
        <v>514</v>
      </c>
      <c r="K39" s="185">
        <v>602</v>
      </c>
      <c r="L39" s="185">
        <v>599</v>
      </c>
      <c r="M39" s="212">
        <f t="shared" si="2"/>
        <v>88</v>
      </c>
      <c r="N39" s="185">
        <v>78</v>
      </c>
      <c r="O39" s="212">
        <f t="shared" si="3"/>
        <v>10</v>
      </c>
      <c r="P39" s="215">
        <v>10</v>
      </c>
      <c r="Q39" s="342">
        <v>0</v>
      </c>
      <c r="R39" s="342">
        <v>0</v>
      </c>
      <c r="S39" s="342">
        <v>0</v>
      </c>
      <c r="T39" s="342">
        <v>0</v>
      </c>
    </row>
    <row r="40" spans="1:20" ht="15.75">
      <c r="A40" s="144">
        <v>28</v>
      </c>
      <c r="B40" s="146" t="s">
        <v>211</v>
      </c>
      <c r="C40" s="185">
        <v>439769</v>
      </c>
      <c r="D40" s="185">
        <v>10275</v>
      </c>
      <c r="E40" s="185">
        <v>1137.152</v>
      </c>
      <c r="F40" s="185">
        <v>20025</v>
      </c>
      <c r="G40" s="185">
        <v>4592</v>
      </c>
      <c r="H40" s="212">
        <f t="shared" si="1"/>
        <v>7300</v>
      </c>
      <c r="I40" s="185">
        <v>7030</v>
      </c>
      <c r="J40" s="185">
        <v>270</v>
      </c>
      <c r="K40" s="185">
        <v>591</v>
      </c>
      <c r="L40" s="185">
        <v>591</v>
      </c>
      <c r="M40" s="212">
        <f t="shared" si="2"/>
        <v>21</v>
      </c>
      <c r="N40" s="185">
        <v>20</v>
      </c>
      <c r="O40" s="212">
        <f t="shared" si="3"/>
        <v>1</v>
      </c>
      <c r="P40" s="185">
        <v>1</v>
      </c>
      <c r="Q40" s="342">
        <v>0</v>
      </c>
      <c r="R40" s="342">
        <v>0</v>
      </c>
      <c r="S40" s="342">
        <v>0</v>
      </c>
      <c r="T40" s="342">
        <v>0</v>
      </c>
    </row>
    <row r="41" spans="1:21" ht="18" customHeight="1">
      <c r="A41" s="144">
        <v>29</v>
      </c>
      <c r="B41" s="146" t="s">
        <v>212</v>
      </c>
      <c r="C41" s="215">
        <v>395512</v>
      </c>
      <c r="D41" s="215">
        <v>11756</v>
      </c>
      <c r="E41" s="215">
        <v>1795.842</v>
      </c>
      <c r="F41" s="215">
        <v>18116</v>
      </c>
      <c r="G41" s="215">
        <v>4020</v>
      </c>
      <c r="H41" s="212">
        <f t="shared" si="1"/>
        <v>7490</v>
      </c>
      <c r="I41" s="185">
        <v>7482</v>
      </c>
      <c r="J41" s="185">
        <v>8</v>
      </c>
      <c r="K41" s="185">
        <v>12</v>
      </c>
      <c r="L41" s="185">
        <v>8</v>
      </c>
      <c r="M41" s="212">
        <f t="shared" si="2"/>
        <v>27</v>
      </c>
      <c r="N41" s="185">
        <v>24</v>
      </c>
      <c r="O41" s="212">
        <f t="shared" si="3"/>
        <v>3</v>
      </c>
      <c r="P41" s="215">
        <v>3</v>
      </c>
      <c r="Q41" s="342">
        <v>0</v>
      </c>
      <c r="R41" s="342">
        <v>0</v>
      </c>
      <c r="S41" s="342">
        <v>0</v>
      </c>
      <c r="T41" s="342">
        <v>0</v>
      </c>
      <c r="U41" s="20"/>
    </row>
    <row r="42" spans="1:20" ht="27" customHeight="1">
      <c r="A42" s="144">
        <v>30</v>
      </c>
      <c r="B42" s="146" t="s">
        <v>213</v>
      </c>
      <c r="C42" s="185">
        <v>714588</v>
      </c>
      <c r="D42" s="185">
        <v>13069</v>
      </c>
      <c r="E42" s="185">
        <v>1815.133</v>
      </c>
      <c r="F42" s="185">
        <v>28187</v>
      </c>
      <c r="G42" s="185">
        <v>5998</v>
      </c>
      <c r="H42" s="212">
        <f t="shared" si="1"/>
        <v>12094</v>
      </c>
      <c r="I42" s="185">
        <v>12045</v>
      </c>
      <c r="J42" s="185">
        <v>49</v>
      </c>
      <c r="K42" s="185">
        <v>23</v>
      </c>
      <c r="L42" s="185">
        <v>17</v>
      </c>
      <c r="M42" s="212">
        <f t="shared" si="2"/>
        <v>27</v>
      </c>
      <c r="N42" s="185">
        <v>26</v>
      </c>
      <c r="O42" s="212">
        <f t="shared" si="3"/>
        <v>1</v>
      </c>
      <c r="P42" s="215">
        <v>1</v>
      </c>
      <c r="Q42" s="342">
        <v>0</v>
      </c>
      <c r="R42" s="342">
        <v>0</v>
      </c>
      <c r="S42" s="342">
        <v>0</v>
      </c>
      <c r="T42" s="342">
        <v>0</v>
      </c>
    </row>
    <row r="43" spans="1:20" ht="15.75">
      <c r="A43" s="144">
        <v>31</v>
      </c>
      <c r="B43" s="146" t="s">
        <v>214</v>
      </c>
      <c r="C43" s="185">
        <v>772973</v>
      </c>
      <c r="D43" s="185">
        <v>24596</v>
      </c>
      <c r="E43" s="185">
        <v>4717.7</v>
      </c>
      <c r="F43" s="185">
        <v>17519</v>
      </c>
      <c r="G43" s="185">
        <v>3535</v>
      </c>
      <c r="H43" s="212">
        <f t="shared" si="1"/>
        <v>11194</v>
      </c>
      <c r="I43" s="185">
        <v>10807</v>
      </c>
      <c r="J43" s="185">
        <v>387</v>
      </c>
      <c r="K43" s="185">
        <v>13</v>
      </c>
      <c r="L43" s="185">
        <v>13</v>
      </c>
      <c r="M43" s="212">
        <f t="shared" si="2"/>
        <v>34</v>
      </c>
      <c r="N43" s="185">
        <v>34</v>
      </c>
      <c r="O43" s="345">
        <f t="shared" si="3"/>
        <v>0</v>
      </c>
      <c r="P43" s="342">
        <v>0</v>
      </c>
      <c r="Q43" s="342">
        <v>0</v>
      </c>
      <c r="R43" s="342">
        <v>0</v>
      </c>
      <c r="S43" s="342">
        <v>0</v>
      </c>
      <c r="T43" s="342">
        <v>0</v>
      </c>
    </row>
    <row r="44" spans="1:21" ht="15.75">
      <c r="A44" s="144">
        <v>32</v>
      </c>
      <c r="B44" s="146" t="s">
        <v>215</v>
      </c>
      <c r="C44" s="185">
        <v>627511</v>
      </c>
      <c r="D44" s="185">
        <v>62530</v>
      </c>
      <c r="E44" s="264">
        <v>2975.34</v>
      </c>
      <c r="F44" s="185">
        <v>34707</v>
      </c>
      <c r="G44" s="185">
        <v>7066</v>
      </c>
      <c r="H44" s="212">
        <f t="shared" si="1"/>
        <v>19618</v>
      </c>
      <c r="I44" s="185">
        <v>19311</v>
      </c>
      <c r="J44" s="185">
        <v>307</v>
      </c>
      <c r="K44" s="185">
        <v>430</v>
      </c>
      <c r="L44" s="185">
        <v>425</v>
      </c>
      <c r="M44" s="212">
        <f t="shared" si="2"/>
        <v>43</v>
      </c>
      <c r="N44" s="185">
        <v>43</v>
      </c>
      <c r="O44" s="345">
        <f t="shared" si="3"/>
        <v>0</v>
      </c>
      <c r="P44" s="342">
        <v>0</v>
      </c>
      <c r="Q44" s="342">
        <v>0</v>
      </c>
      <c r="R44" s="342">
        <v>0</v>
      </c>
      <c r="S44" s="342">
        <v>0</v>
      </c>
      <c r="T44" s="342">
        <v>0</v>
      </c>
      <c r="U44" s="20"/>
    </row>
    <row r="45" spans="1:20" ht="18" customHeight="1">
      <c r="A45" s="144">
        <v>33</v>
      </c>
      <c r="B45" s="146" t="s">
        <v>216</v>
      </c>
      <c r="C45" s="185">
        <v>243712</v>
      </c>
      <c r="D45" s="185">
        <v>9980</v>
      </c>
      <c r="E45" s="291">
        <v>1801018</v>
      </c>
      <c r="F45" s="185">
        <v>15186</v>
      </c>
      <c r="G45" s="185">
        <v>2004</v>
      </c>
      <c r="H45" s="212">
        <f t="shared" si="1"/>
        <v>4382</v>
      </c>
      <c r="I45" s="185">
        <v>4369</v>
      </c>
      <c r="J45" s="185">
        <v>13</v>
      </c>
      <c r="K45" s="215">
        <v>1</v>
      </c>
      <c r="L45" s="215">
        <v>1</v>
      </c>
      <c r="M45" s="212">
        <f t="shared" si="2"/>
        <v>12</v>
      </c>
      <c r="N45" s="185">
        <v>12</v>
      </c>
      <c r="O45" s="345">
        <f t="shared" si="3"/>
        <v>0</v>
      </c>
      <c r="P45" s="342">
        <v>0</v>
      </c>
      <c r="Q45" s="342">
        <v>0</v>
      </c>
      <c r="R45" s="342">
        <v>0</v>
      </c>
      <c r="S45" s="342">
        <v>0</v>
      </c>
      <c r="T45" s="342">
        <v>0</v>
      </c>
    </row>
    <row r="46" spans="1:21" ht="18" customHeight="1">
      <c r="A46" s="144">
        <v>34</v>
      </c>
      <c r="B46" s="146" t="s">
        <v>217</v>
      </c>
      <c r="C46" s="215">
        <v>336461</v>
      </c>
      <c r="D46" s="215">
        <v>2212</v>
      </c>
      <c r="E46" s="215">
        <v>490.589</v>
      </c>
      <c r="F46" s="185">
        <v>12454</v>
      </c>
      <c r="G46" s="185">
        <v>898</v>
      </c>
      <c r="H46" s="212">
        <f t="shared" si="1"/>
        <v>3210</v>
      </c>
      <c r="I46" s="185">
        <v>3207</v>
      </c>
      <c r="J46" s="185">
        <v>3</v>
      </c>
      <c r="K46" s="185">
        <v>24</v>
      </c>
      <c r="L46" s="185">
        <v>24</v>
      </c>
      <c r="M46" s="212">
        <f t="shared" si="2"/>
        <v>44</v>
      </c>
      <c r="N46" s="185">
        <v>44</v>
      </c>
      <c r="O46" s="345">
        <f t="shared" si="3"/>
        <v>0</v>
      </c>
      <c r="P46" s="342">
        <v>0</v>
      </c>
      <c r="Q46" s="342">
        <v>0</v>
      </c>
      <c r="R46" s="342">
        <v>0</v>
      </c>
      <c r="S46" s="342">
        <v>0</v>
      </c>
      <c r="T46" s="342">
        <v>0</v>
      </c>
      <c r="U46" s="20"/>
    </row>
    <row r="47" spans="1:20" ht="25.5" customHeight="1">
      <c r="A47" s="144">
        <v>35</v>
      </c>
      <c r="B47" s="146" t="s">
        <v>218</v>
      </c>
      <c r="C47" s="185">
        <v>686802</v>
      </c>
      <c r="D47" s="185">
        <v>18295</v>
      </c>
      <c r="E47" s="185">
        <v>5523812</v>
      </c>
      <c r="F47" s="185">
        <v>30560</v>
      </c>
      <c r="G47" s="185">
        <v>5289</v>
      </c>
      <c r="H47" s="212">
        <f t="shared" si="1"/>
        <v>12362</v>
      </c>
      <c r="I47" s="185">
        <v>12203</v>
      </c>
      <c r="J47" s="185">
        <v>159</v>
      </c>
      <c r="K47" s="185">
        <v>15</v>
      </c>
      <c r="L47" s="185">
        <v>14</v>
      </c>
      <c r="M47" s="212">
        <f t="shared" si="2"/>
        <v>39</v>
      </c>
      <c r="N47" s="185">
        <v>37</v>
      </c>
      <c r="O47" s="212">
        <f t="shared" si="3"/>
        <v>2</v>
      </c>
      <c r="P47" s="215">
        <v>2</v>
      </c>
      <c r="Q47" s="342">
        <v>0</v>
      </c>
      <c r="R47" s="342">
        <v>0</v>
      </c>
      <c r="S47" s="342">
        <v>0</v>
      </c>
      <c r="T47" s="342">
        <v>0</v>
      </c>
    </row>
    <row r="48" spans="1:20" ht="18" customHeight="1">
      <c r="A48" s="144">
        <v>36</v>
      </c>
      <c r="B48" s="147" t="s">
        <v>219</v>
      </c>
      <c r="C48" s="215">
        <v>362302</v>
      </c>
      <c r="D48" s="215">
        <v>1080</v>
      </c>
      <c r="E48" s="215">
        <v>1415.7</v>
      </c>
      <c r="F48" s="185">
        <v>17404</v>
      </c>
      <c r="G48" s="185">
        <v>4719</v>
      </c>
      <c r="H48" s="212">
        <f t="shared" si="1"/>
        <v>7813</v>
      </c>
      <c r="I48" s="215">
        <v>7799</v>
      </c>
      <c r="J48" s="215">
        <v>14</v>
      </c>
      <c r="K48" s="215">
        <v>8</v>
      </c>
      <c r="L48" s="215">
        <v>5</v>
      </c>
      <c r="M48" s="212">
        <f t="shared" si="2"/>
        <v>46</v>
      </c>
      <c r="N48" s="215">
        <v>35</v>
      </c>
      <c r="O48" s="212">
        <f t="shared" si="3"/>
        <v>11</v>
      </c>
      <c r="P48" s="215">
        <v>11</v>
      </c>
      <c r="Q48" s="342">
        <v>0</v>
      </c>
      <c r="R48" s="342">
        <v>0</v>
      </c>
      <c r="S48" s="342">
        <v>0</v>
      </c>
      <c r="T48" s="342">
        <v>0</v>
      </c>
    </row>
    <row r="49" spans="1:20" ht="18" customHeight="1">
      <c r="A49" s="144">
        <v>37</v>
      </c>
      <c r="B49" s="147" t="s">
        <v>220</v>
      </c>
      <c r="C49" s="215">
        <v>242813</v>
      </c>
      <c r="D49" s="215">
        <v>1702</v>
      </c>
      <c r="E49" s="312">
        <v>693875</v>
      </c>
      <c r="F49" s="185">
        <v>16320</v>
      </c>
      <c r="G49" s="185">
        <v>1759</v>
      </c>
      <c r="H49" s="212">
        <f t="shared" si="1"/>
        <v>3910</v>
      </c>
      <c r="I49" s="215">
        <v>3899</v>
      </c>
      <c r="J49" s="215">
        <v>11</v>
      </c>
      <c r="K49" s="215">
        <v>4</v>
      </c>
      <c r="L49" s="215">
        <v>4</v>
      </c>
      <c r="M49" s="212">
        <f t="shared" si="2"/>
        <v>24</v>
      </c>
      <c r="N49" s="215">
        <v>24</v>
      </c>
      <c r="O49" s="345">
        <f t="shared" si="3"/>
        <v>0</v>
      </c>
      <c r="P49" s="342">
        <v>0</v>
      </c>
      <c r="Q49" s="342">
        <v>0</v>
      </c>
      <c r="R49" s="342">
        <v>0</v>
      </c>
      <c r="S49" s="342">
        <v>0</v>
      </c>
      <c r="T49" s="342">
        <v>0</v>
      </c>
    </row>
    <row r="50" spans="1:20" ht="18" customHeight="1">
      <c r="A50" s="144">
        <v>38</v>
      </c>
      <c r="B50" s="147" t="s">
        <v>221</v>
      </c>
      <c r="C50" s="215">
        <v>1108743</v>
      </c>
      <c r="D50" s="215">
        <v>23922</v>
      </c>
      <c r="E50" s="215">
        <v>3845.623</v>
      </c>
      <c r="F50" s="185">
        <v>31270</v>
      </c>
      <c r="G50" s="185">
        <v>8483</v>
      </c>
      <c r="H50" s="212">
        <f t="shared" si="1"/>
        <v>18086</v>
      </c>
      <c r="I50" s="215">
        <v>17914</v>
      </c>
      <c r="J50" s="215">
        <v>172</v>
      </c>
      <c r="K50" s="215">
        <v>35</v>
      </c>
      <c r="L50" s="215">
        <v>33</v>
      </c>
      <c r="M50" s="212">
        <f t="shared" si="2"/>
        <v>36</v>
      </c>
      <c r="N50" s="215">
        <v>36</v>
      </c>
      <c r="O50" s="345">
        <f t="shared" si="3"/>
        <v>0</v>
      </c>
      <c r="P50" s="342">
        <v>0</v>
      </c>
      <c r="Q50" s="342">
        <v>0</v>
      </c>
      <c r="R50" s="342">
        <v>0</v>
      </c>
      <c r="S50" s="342">
        <v>0</v>
      </c>
      <c r="T50" s="342">
        <v>0</v>
      </c>
    </row>
    <row r="51" spans="1:20" ht="18" customHeight="1">
      <c r="A51" s="144">
        <v>39</v>
      </c>
      <c r="B51" s="147" t="s">
        <v>222</v>
      </c>
      <c r="C51" s="215">
        <v>836304</v>
      </c>
      <c r="D51" s="215">
        <v>63969</v>
      </c>
      <c r="E51" s="215">
        <v>3533.772</v>
      </c>
      <c r="F51" s="215">
        <v>24794</v>
      </c>
      <c r="G51" s="215">
        <v>6420</v>
      </c>
      <c r="H51" s="212">
        <f t="shared" si="1"/>
        <v>19826</v>
      </c>
      <c r="I51" s="215">
        <v>19766</v>
      </c>
      <c r="J51" s="215">
        <v>60</v>
      </c>
      <c r="K51" s="215">
        <v>27</v>
      </c>
      <c r="L51" s="215">
        <v>21</v>
      </c>
      <c r="M51" s="212">
        <f t="shared" si="2"/>
        <v>33</v>
      </c>
      <c r="N51" s="215">
        <v>32</v>
      </c>
      <c r="O51" s="212">
        <f t="shared" si="3"/>
        <v>1</v>
      </c>
      <c r="P51" s="215">
        <v>1</v>
      </c>
      <c r="Q51" s="342">
        <v>0</v>
      </c>
      <c r="R51" s="342">
        <v>0</v>
      </c>
      <c r="S51" s="342">
        <v>0</v>
      </c>
      <c r="T51" s="342">
        <v>0</v>
      </c>
    </row>
    <row r="52" spans="1:20" ht="18" customHeight="1">
      <c r="A52" s="144">
        <v>40</v>
      </c>
      <c r="B52" s="147" t="s">
        <v>223</v>
      </c>
      <c r="C52" s="215">
        <v>2237098</v>
      </c>
      <c r="D52" s="215">
        <v>59396</v>
      </c>
      <c r="E52" s="215">
        <v>5159.805</v>
      </c>
      <c r="F52" s="295">
        <v>122411</v>
      </c>
      <c r="G52" s="295">
        <v>30949</v>
      </c>
      <c r="H52" s="212">
        <f t="shared" si="1"/>
        <v>51435</v>
      </c>
      <c r="I52" s="295">
        <v>51318</v>
      </c>
      <c r="J52" s="215">
        <v>117</v>
      </c>
      <c r="K52" s="215">
        <v>87</v>
      </c>
      <c r="L52" s="215">
        <v>80</v>
      </c>
      <c r="M52" s="212">
        <f t="shared" si="2"/>
        <v>134</v>
      </c>
      <c r="N52" s="215">
        <v>130</v>
      </c>
      <c r="O52" s="212">
        <f t="shared" si="3"/>
        <v>4</v>
      </c>
      <c r="P52" s="215">
        <v>4</v>
      </c>
      <c r="Q52" s="342">
        <v>0</v>
      </c>
      <c r="R52" s="342">
        <v>0</v>
      </c>
      <c r="S52" s="342">
        <v>0</v>
      </c>
      <c r="T52" s="215">
        <v>2</v>
      </c>
    </row>
    <row r="53" spans="1:20" ht="18" customHeight="1">
      <c r="A53" s="144">
        <v>41</v>
      </c>
      <c r="B53" s="147" t="s">
        <v>224</v>
      </c>
      <c r="C53" s="215">
        <v>478370</v>
      </c>
      <c r="D53" s="215">
        <v>12080</v>
      </c>
      <c r="E53" s="295">
        <v>1921693</v>
      </c>
      <c r="F53" s="215">
        <v>22086</v>
      </c>
      <c r="G53" s="215">
        <v>5026</v>
      </c>
      <c r="H53" s="212">
        <f t="shared" si="1"/>
        <v>9726</v>
      </c>
      <c r="I53" s="215">
        <v>9691</v>
      </c>
      <c r="J53" s="215">
        <v>35</v>
      </c>
      <c r="K53" s="215">
        <v>18</v>
      </c>
      <c r="L53" s="215">
        <v>14</v>
      </c>
      <c r="M53" s="212">
        <f t="shared" si="2"/>
        <v>30</v>
      </c>
      <c r="N53" s="215">
        <v>30</v>
      </c>
      <c r="O53" s="345">
        <f t="shared" si="3"/>
        <v>0</v>
      </c>
      <c r="P53" s="342">
        <v>0</v>
      </c>
      <c r="Q53" s="342">
        <v>0</v>
      </c>
      <c r="R53" s="342">
        <v>0</v>
      </c>
      <c r="S53" s="342">
        <v>0</v>
      </c>
      <c r="T53" s="342">
        <v>0</v>
      </c>
    </row>
    <row r="54" spans="1:20" ht="27.75" customHeight="1">
      <c r="A54" s="144">
        <v>42</v>
      </c>
      <c r="B54" s="163" t="s">
        <v>225</v>
      </c>
      <c r="C54" s="215">
        <v>274432</v>
      </c>
      <c r="D54" s="215">
        <v>3806</v>
      </c>
      <c r="E54" s="215">
        <v>1242.301</v>
      </c>
      <c r="F54" s="215">
        <v>14177</v>
      </c>
      <c r="G54" s="215">
        <v>3196</v>
      </c>
      <c r="H54" s="212">
        <f t="shared" si="1"/>
        <v>5657</v>
      </c>
      <c r="I54" s="215">
        <v>5588</v>
      </c>
      <c r="J54" s="215">
        <v>69</v>
      </c>
      <c r="K54" s="215">
        <v>4</v>
      </c>
      <c r="L54" s="215">
        <v>4</v>
      </c>
      <c r="M54" s="212">
        <f t="shared" si="2"/>
        <v>8</v>
      </c>
      <c r="N54" s="215">
        <v>8</v>
      </c>
      <c r="O54" s="345">
        <f t="shared" si="3"/>
        <v>0</v>
      </c>
      <c r="P54" s="342">
        <v>0</v>
      </c>
      <c r="Q54" s="342">
        <v>0</v>
      </c>
      <c r="R54" s="342">
        <v>0</v>
      </c>
      <c r="S54" s="342">
        <v>0</v>
      </c>
      <c r="T54" s="342">
        <v>0</v>
      </c>
    </row>
    <row r="55" spans="1:20" ht="18" customHeight="1">
      <c r="A55" s="144">
        <v>43</v>
      </c>
      <c r="B55" s="147" t="s">
        <v>226</v>
      </c>
      <c r="C55" s="215">
        <v>375465</v>
      </c>
      <c r="D55" s="215">
        <v>35222</v>
      </c>
      <c r="E55" s="215">
        <v>3411.136</v>
      </c>
      <c r="F55" s="215">
        <v>31410</v>
      </c>
      <c r="G55" s="215">
        <v>6765</v>
      </c>
      <c r="H55" s="212">
        <f t="shared" si="1"/>
        <v>14249</v>
      </c>
      <c r="I55" s="215">
        <v>14168</v>
      </c>
      <c r="J55" s="215">
        <v>81</v>
      </c>
      <c r="K55" s="215">
        <v>23</v>
      </c>
      <c r="L55" s="215">
        <v>18</v>
      </c>
      <c r="M55" s="212">
        <f t="shared" si="2"/>
        <v>35</v>
      </c>
      <c r="N55" s="215">
        <v>35</v>
      </c>
      <c r="O55" s="345">
        <f t="shared" si="3"/>
        <v>0</v>
      </c>
      <c r="P55" s="342">
        <v>0</v>
      </c>
      <c r="Q55" s="342">
        <v>0</v>
      </c>
      <c r="R55" s="342">
        <v>0</v>
      </c>
      <c r="S55" s="342">
        <v>0</v>
      </c>
      <c r="T55" s="342">
        <v>0</v>
      </c>
    </row>
    <row r="56" spans="1:20" ht="18" customHeight="1">
      <c r="A56" s="144">
        <v>44</v>
      </c>
      <c r="B56" s="147" t="s">
        <v>227</v>
      </c>
      <c r="C56" s="215">
        <v>325530</v>
      </c>
      <c r="D56" s="215">
        <v>27388</v>
      </c>
      <c r="E56" s="215">
        <v>2557.619</v>
      </c>
      <c r="F56" s="215">
        <v>16892</v>
      </c>
      <c r="G56" s="215">
        <v>4627</v>
      </c>
      <c r="H56" s="212">
        <f t="shared" si="1"/>
        <v>7420</v>
      </c>
      <c r="I56" s="215">
        <v>7307</v>
      </c>
      <c r="J56" s="215">
        <v>113</v>
      </c>
      <c r="K56" s="215">
        <v>10</v>
      </c>
      <c r="L56" s="215">
        <v>10</v>
      </c>
      <c r="M56" s="212">
        <f t="shared" si="2"/>
        <v>20</v>
      </c>
      <c r="N56" s="215">
        <v>20</v>
      </c>
      <c r="O56" s="345">
        <f t="shared" si="3"/>
        <v>0</v>
      </c>
      <c r="P56" s="342">
        <v>0</v>
      </c>
      <c r="Q56" s="342">
        <v>0</v>
      </c>
      <c r="R56" s="342">
        <v>0</v>
      </c>
      <c r="S56" s="342">
        <v>0</v>
      </c>
      <c r="T56" s="342">
        <v>0</v>
      </c>
    </row>
    <row r="57" spans="1:20" s="95" customFormat="1" ht="27.75" customHeight="1">
      <c r="A57" s="144">
        <v>45</v>
      </c>
      <c r="B57" s="164" t="s">
        <v>233</v>
      </c>
      <c r="C57" s="215">
        <v>809571</v>
      </c>
      <c r="D57" s="215">
        <v>19381</v>
      </c>
      <c r="E57" s="215">
        <v>4294.09</v>
      </c>
      <c r="F57" s="185">
        <v>22267</v>
      </c>
      <c r="G57" s="185">
        <v>5606</v>
      </c>
      <c r="H57" s="212">
        <f t="shared" si="1"/>
        <v>8573</v>
      </c>
      <c r="I57" s="215">
        <v>8545</v>
      </c>
      <c r="J57" s="215">
        <v>28</v>
      </c>
      <c r="K57" s="215">
        <v>2</v>
      </c>
      <c r="L57" s="215">
        <v>2</v>
      </c>
      <c r="M57" s="212">
        <f t="shared" si="2"/>
        <v>22</v>
      </c>
      <c r="N57" s="215">
        <v>13</v>
      </c>
      <c r="O57" s="212">
        <f t="shared" si="3"/>
        <v>9</v>
      </c>
      <c r="P57" s="215">
        <v>9</v>
      </c>
      <c r="Q57" s="342">
        <v>0</v>
      </c>
      <c r="R57" s="342">
        <v>0</v>
      </c>
      <c r="S57" s="342">
        <v>0</v>
      </c>
      <c r="T57" s="342">
        <v>0</v>
      </c>
    </row>
    <row r="58" spans="1:20" s="95" customFormat="1" ht="15.75">
      <c r="A58" s="144">
        <v>46</v>
      </c>
      <c r="B58" s="165" t="s">
        <v>234</v>
      </c>
      <c r="C58" s="215">
        <v>1449813</v>
      </c>
      <c r="D58" s="215">
        <v>13213</v>
      </c>
      <c r="E58" s="215">
        <v>3575.094</v>
      </c>
      <c r="F58" s="185">
        <v>36970</v>
      </c>
      <c r="G58" s="185">
        <v>8656</v>
      </c>
      <c r="H58" s="212">
        <f t="shared" si="1"/>
        <v>14488</v>
      </c>
      <c r="I58" s="215">
        <v>14406</v>
      </c>
      <c r="J58" s="215">
        <v>82</v>
      </c>
      <c r="K58" s="215">
        <v>1</v>
      </c>
      <c r="L58" s="215">
        <v>1</v>
      </c>
      <c r="M58" s="212">
        <f t="shared" si="2"/>
        <v>35</v>
      </c>
      <c r="N58" s="215">
        <v>29</v>
      </c>
      <c r="O58" s="212">
        <f t="shared" si="3"/>
        <v>6</v>
      </c>
      <c r="P58" s="215">
        <v>5</v>
      </c>
      <c r="Q58" s="342">
        <v>0</v>
      </c>
      <c r="R58" s="215">
        <v>1</v>
      </c>
      <c r="S58" s="342">
        <v>0</v>
      </c>
      <c r="T58" s="342">
        <v>0</v>
      </c>
    </row>
    <row r="59" spans="1:20" s="95" customFormat="1" ht="15.75">
      <c r="A59" s="144">
        <v>47</v>
      </c>
      <c r="B59" s="165" t="s">
        <v>235</v>
      </c>
      <c r="C59" s="215">
        <v>655466</v>
      </c>
      <c r="D59" s="215">
        <v>12816</v>
      </c>
      <c r="E59" s="215">
        <v>2635.39</v>
      </c>
      <c r="F59" s="185">
        <v>24998</v>
      </c>
      <c r="G59" s="185">
        <v>5923</v>
      </c>
      <c r="H59" s="212">
        <f t="shared" si="1"/>
        <v>8882</v>
      </c>
      <c r="I59" s="215">
        <v>8815</v>
      </c>
      <c r="J59" s="215">
        <v>67</v>
      </c>
      <c r="K59" s="215">
        <v>6</v>
      </c>
      <c r="L59" s="215">
        <v>4</v>
      </c>
      <c r="M59" s="212">
        <f t="shared" si="2"/>
        <v>12</v>
      </c>
      <c r="N59" s="215">
        <v>11</v>
      </c>
      <c r="O59" s="212">
        <f t="shared" si="3"/>
        <v>1</v>
      </c>
      <c r="P59" s="215">
        <v>1</v>
      </c>
      <c r="Q59" s="342">
        <v>0</v>
      </c>
      <c r="R59" s="342">
        <v>0</v>
      </c>
      <c r="S59" s="342">
        <v>0</v>
      </c>
      <c r="T59" s="342">
        <v>0</v>
      </c>
    </row>
    <row r="60" spans="1:20" s="95" customFormat="1" ht="15.75">
      <c r="A60" s="144">
        <v>48</v>
      </c>
      <c r="B60" s="165" t="s">
        <v>236</v>
      </c>
      <c r="C60" s="215">
        <v>683434</v>
      </c>
      <c r="D60" s="215">
        <v>37331</v>
      </c>
      <c r="E60" s="295">
        <v>5154453</v>
      </c>
      <c r="F60" s="185">
        <v>30474</v>
      </c>
      <c r="G60" s="185">
        <v>5649</v>
      </c>
      <c r="H60" s="212">
        <f t="shared" si="1"/>
        <v>11326</v>
      </c>
      <c r="I60" s="215">
        <v>11197</v>
      </c>
      <c r="J60" s="215">
        <v>129</v>
      </c>
      <c r="K60" s="215">
        <v>457</v>
      </c>
      <c r="L60" s="215">
        <v>455</v>
      </c>
      <c r="M60" s="212">
        <f t="shared" si="2"/>
        <v>81</v>
      </c>
      <c r="N60" s="215">
        <v>75</v>
      </c>
      <c r="O60" s="212">
        <f t="shared" si="3"/>
        <v>6</v>
      </c>
      <c r="P60" s="215">
        <v>5</v>
      </c>
      <c r="Q60" s="215">
        <v>1</v>
      </c>
      <c r="R60" s="342">
        <v>0</v>
      </c>
      <c r="S60" s="342">
        <v>0</v>
      </c>
      <c r="T60" s="342">
        <v>0</v>
      </c>
    </row>
    <row r="61" spans="1:20" s="95" customFormat="1" ht="15.75">
      <c r="A61" s="144">
        <v>49</v>
      </c>
      <c r="B61" s="165" t="s">
        <v>237</v>
      </c>
      <c r="C61" s="215">
        <v>736199</v>
      </c>
      <c r="D61" s="215">
        <v>6395</v>
      </c>
      <c r="E61" s="215">
        <v>1480.38</v>
      </c>
      <c r="F61" s="185">
        <v>15695</v>
      </c>
      <c r="G61" s="185">
        <v>3181</v>
      </c>
      <c r="H61" s="212">
        <f t="shared" si="1"/>
        <v>6033</v>
      </c>
      <c r="I61" s="215">
        <v>6003</v>
      </c>
      <c r="J61" s="215">
        <v>30</v>
      </c>
      <c r="K61" s="215">
        <v>6</v>
      </c>
      <c r="L61" s="215">
        <v>6</v>
      </c>
      <c r="M61" s="212">
        <f t="shared" si="2"/>
        <v>14</v>
      </c>
      <c r="N61" s="215">
        <v>14</v>
      </c>
      <c r="O61" s="345">
        <f t="shared" si="3"/>
        <v>0</v>
      </c>
      <c r="P61" s="342">
        <v>0</v>
      </c>
      <c r="Q61" s="342">
        <v>0</v>
      </c>
      <c r="R61" s="342">
        <v>0</v>
      </c>
      <c r="S61" s="342">
        <v>0</v>
      </c>
      <c r="T61" s="342">
        <v>0</v>
      </c>
    </row>
    <row r="62" spans="1:20" s="95" customFormat="1" ht="15.75">
      <c r="A62" s="144">
        <v>50</v>
      </c>
      <c r="B62" s="165" t="s">
        <v>238</v>
      </c>
      <c r="C62" s="215">
        <v>540477</v>
      </c>
      <c r="D62" s="215">
        <v>26534</v>
      </c>
      <c r="E62" s="215">
        <v>2108.593</v>
      </c>
      <c r="F62" s="185">
        <v>36395</v>
      </c>
      <c r="G62" s="185">
        <v>7962</v>
      </c>
      <c r="H62" s="212">
        <f t="shared" si="1"/>
        <v>14928</v>
      </c>
      <c r="I62" s="215">
        <v>14749</v>
      </c>
      <c r="J62" s="215">
        <v>179</v>
      </c>
      <c r="K62" s="215">
        <v>21</v>
      </c>
      <c r="L62" s="215">
        <v>21</v>
      </c>
      <c r="M62" s="212">
        <f t="shared" si="2"/>
        <v>72</v>
      </c>
      <c r="N62" s="215">
        <v>64</v>
      </c>
      <c r="O62" s="212">
        <f t="shared" si="3"/>
        <v>8</v>
      </c>
      <c r="P62" s="215">
        <v>8</v>
      </c>
      <c r="Q62" s="342">
        <v>0</v>
      </c>
      <c r="R62" s="342">
        <v>0</v>
      </c>
      <c r="S62" s="342">
        <v>0</v>
      </c>
      <c r="T62" s="215">
        <v>11</v>
      </c>
    </row>
    <row r="63" spans="1:20" s="95" customFormat="1" ht="18" customHeight="1">
      <c r="A63" s="144">
        <v>51</v>
      </c>
      <c r="B63" s="166" t="s">
        <v>239</v>
      </c>
      <c r="C63" s="215">
        <v>746968</v>
      </c>
      <c r="D63" s="215">
        <v>547</v>
      </c>
      <c r="E63" s="295">
        <v>1811539</v>
      </c>
      <c r="F63" s="185">
        <v>39967</v>
      </c>
      <c r="G63" s="185">
        <v>3989</v>
      </c>
      <c r="H63" s="212">
        <f t="shared" si="1"/>
        <v>10759</v>
      </c>
      <c r="I63" s="215">
        <v>10756</v>
      </c>
      <c r="J63" s="215">
        <v>3</v>
      </c>
      <c r="K63" s="215">
        <v>4</v>
      </c>
      <c r="L63" s="215">
        <v>4</v>
      </c>
      <c r="M63" s="212">
        <f t="shared" si="2"/>
        <v>75</v>
      </c>
      <c r="N63" s="215">
        <v>74</v>
      </c>
      <c r="O63" s="212">
        <f t="shared" si="3"/>
        <v>1</v>
      </c>
      <c r="P63" s="215">
        <v>1</v>
      </c>
      <c r="Q63" s="342">
        <v>0</v>
      </c>
      <c r="R63" s="342">
        <v>0</v>
      </c>
      <c r="S63" s="342">
        <v>0</v>
      </c>
      <c r="T63" s="342">
        <v>0</v>
      </c>
    </row>
    <row r="64" spans="1:20" s="101" customFormat="1" ht="27" customHeight="1">
      <c r="A64" s="144">
        <v>52</v>
      </c>
      <c r="B64" s="166" t="s">
        <v>240</v>
      </c>
      <c r="C64" s="215">
        <v>643961</v>
      </c>
      <c r="D64" s="215">
        <v>34320</v>
      </c>
      <c r="E64" s="215">
        <v>3259</v>
      </c>
      <c r="F64" s="185">
        <v>25733</v>
      </c>
      <c r="G64" s="185">
        <v>6236</v>
      </c>
      <c r="H64" s="212">
        <f t="shared" si="1"/>
        <v>11624</v>
      </c>
      <c r="I64" s="215">
        <v>11328</v>
      </c>
      <c r="J64" s="215">
        <v>296</v>
      </c>
      <c r="K64" s="215">
        <v>217</v>
      </c>
      <c r="L64" s="215">
        <v>213</v>
      </c>
      <c r="M64" s="212">
        <f t="shared" si="2"/>
        <v>20</v>
      </c>
      <c r="N64" s="215">
        <v>19</v>
      </c>
      <c r="O64" s="212">
        <f t="shared" si="3"/>
        <v>1</v>
      </c>
      <c r="P64" s="215">
        <v>1</v>
      </c>
      <c r="Q64" s="342">
        <v>0</v>
      </c>
      <c r="R64" s="342">
        <v>0</v>
      </c>
      <c r="S64" s="342">
        <v>0</v>
      </c>
      <c r="T64" s="342">
        <v>0</v>
      </c>
    </row>
    <row r="65" spans="1:20" s="95" customFormat="1" ht="15.75">
      <c r="A65" s="144">
        <v>53</v>
      </c>
      <c r="B65" s="166" t="s">
        <v>241</v>
      </c>
      <c r="C65" s="215">
        <v>998987</v>
      </c>
      <c r="D65" s="215">
        <v>63300</v>
      </c>
      <c r="E65" s="215">
        <v>1882.853</v>
      </c>
      <c r="F65" s="185">
        <v>33234</v>
      </c>
      <c r="G65" s="185">
        <v>11485</v>
      </c>
      <c r="H65" s="212">
        <f t="shared" si="1"/>
        <v>15637</v>
      </c>
      <c r="I65" s="215">
        <v>15528</v>
      </c>
      <c r="J65" s="215">
        <v>109</v>
      </c>
      <c r="K65" s="215">
        <v>49</v>
      </c>
      <c r="L65" s="215">
        <v>40</v>
      </c>
      <c r="M65" s="212">
        <f t="shared" si="2"/>
        <v>38</v>
      </c>
      <c r="N65" s="215">
        <v>38</v>
      </c>
      <c r="O65" s="345">
        <f t="shared" si="3"/>
        <v>0</v>
      </c>
      <c r="P65" s="342">
        <v>0</v>
      </c>
      <c r="Q65" s="342">
        <v>0</v>
      </c>
      <c r="R65" s="342">
        <v>0</v>
      </c>
      <c r="S65" s="342">
        <v>0</v>
      </c>
      <c r="T65" s="215">
        <v>8</v>
      </c>
    </row>
    <row r="66" spans="1:20" s="95" customFormat="1" ht="24" customHeight="1">
      <c r="A66" s="144">
        <v>54</v>
      </c>
      <c r="B66" s="166" t="s">
        <v>242</v>
      </c>
      <c r="C66" s="215">
        <v>348653</v>
      </c>
      <c r="D66" s="215">
        <v>10145</v>
      </c>
      <c r="E66" s="215">
        <v>1615.425</v>
      </c>
      <c r="F66" s="185">
        <v>19382</v>
      </c>
      <c r="G66" s="185">
        <v>2656</v>
      </c>
      <c r="H66" s="212">
        <f t="shared" si="1"/>
        <v>10007</v>
      </c>
      <c r="I66" s="215">
        <v>9938</v>
      </c>
      <c r="J66" s="215">
        <v>69</v>
      </c>
      <c r="K66" s="215">
        <v>17</v>
      </c>
      <c r="L66" s="215">
        <v>16</v>
      </c>
      <c r="M66" s="212">
        <f t="shared" si="2"/>
        <v>45</v>
      </c>
      <c r="N66" s="215">
        <v>39</v>
      </c>
      <c r="O66" s="212">
        <f t="shared" si="3"/>
        <v>6</v>
      </c>
      <c r="P66" s="215">
        <v>5</v>
      </c>
      <c r="Q66" s="215">
        <v>1</v>
      </c>
      <c r="R66" s="342">
        <v>0</v>
      </c>
      <c r="S66" s="342">
        <v>0</v>
      </c>
      <c r="T66" s="342">
        <v>0</v>
      </c>
    </row>
    <row r="67" spans="1:20" s="101" customFormat="1" ht="15.75">
      <c r="A67" s="144">
        <v>55</v>
      </c>
      <c r="B67" s="166" t="s">
        <v>243</v>
      </c>
      <c r="C67" s="215">
        <v>1844743</v>
      </c>
      <c r="D67" s="215">
        <v>72883</v>
      </c>
      <c r="E67" s="215">
        <v>4914.963</v>
      </c>
      <c r="F67" s="185">
        <v>67017</v>
      </c>
      <c r="G67" s="185">
        <v>17858</v>
      </c>
      <c r="H67" s="212">
        <f t="shared" si="1"/>
        <v>34256</v>
      </c>
      <c r="I67" s="215">
        <v>34172</v>
      </c>
      <c r="J67" s="215">
        <v>84</v>
      </c>
      <c r="K67" s="215">
        <v>40</v>
      </c>
      <c r="L67" s="215">
        <v>32</v>
      </c>
      <c r="M67" s="212">
        <f t="shared" si="2"/>
        <v>114</v>
      </c>
      <c r="N67" s="215">
        <v>110</v>
      </c>
      <c r="O67" s="212">
        <f t="shared" si="3"/>
        <v>4</v>
      </c>
      <c r="P67" s="215">
        <v>4</v>
      </c>
      <c r="Q67" s="342">
        <v>0</v>
      </c>
      <c r="R67" s="342">
        <v>0</v>
      </c>
      <c r="S67" s="342">
        <v>0</v>
      </c>
      <c r="T67" s="342">
        <v>0</v>
      </c>
    </row>
    <row r="68" spans="1:20" s="101" customFormat="1" ht="25.5">
      <c r="A68" s="144">
        <v>56</v>
      </c>
      <c r="B68" s="166" t="s">
        <v>244</v>
      </c>
      <c r="C68" s="215">
        <v>458877</v>
      </c>
      <c r="D68" s="215">
        <v>10838</v>
      </c>
      <c r="E68" s="215">
        <v>2791.39</v>
      </c>
      <c r="F68" s="185">
        <v>24171</v>
      </c>
      <c r="G68" s="185">
        <v>7367</v>
      </c>
      <c r="H68" s="212">
        <f t="shared" si="1"/>
        <v>10822</v>
      </c>
      <c r="I68" s="215">
        <v>10442</v>
      </c>
      <c r="J68" s="215">
        <v>380</v>
      </c>
      <c r="K68" s="215">
        <v>10</v>
      </c>
      <c r="L68" s="215">
        <v>7</v>
      </c>
      <c r="M68" s="212">
        <f t="shared" si="2"/>
        <v>13</v>
      </c>
      <c r="N68" s="215">
        <v>13</v>
      </c>
      <c r="O68" s="345">
        <f t="shared" si="3"/>
        <v>0</v>
      </c>
      <c r="P68" s="342">
        <v>0</v>
      </c>
      <c r="Q68" s="342">
        <v>0</v>
      </c>
      <c r="R68" s="342">
        <v>0</v>
      </c>
      <c r="S68" s="342">
        <v>0</v>
      </c>
      <c r="T68" s="215">
        <v>3</v>
      </c>
    </row>
    <row r="69" spans="1:20" s="95" customFormat="1" ht="15.75">
      <c r="A69" s="144">
        <v>57</v>
      </c>
      <c r="B69" s="166" t="s">
        <v>245</v>
      </c>
      <c r="C69" s="215">
        <v>673432</v>
      </c>
      <c r="D69" s="215">
        <v>24198</v>
      </c>
      <c r="E69" s="295">
        <v>3.027316</v>
      </c>
      <c r="F69" s="185">
        <v>28941</v>
      </c>
      <c r="G69" s="185">
        <v>9815</v>
      </c>
      <c r="H69" s="212">
        <f t="shared" si="1"/>
        <v>15512</v>
      </c>
      <c r="I69" s="215">
        <v>15138</v>
      </c>
      <c r="J69" s="215">
        <v>374</v>
      </c>
      <c r="K69" s="215">
        <v>31</v>
      </c>
      <c r="L69" s="215">
        <v>31</v>
      </c>
      <c r="M69" s="212">
        <f t="shared" si="2"/>
        <v>43</v>
      </c>
      <c r="N69" s="215">
        <v>43</v>
      </c>
      <c r="O69" s="345">
        <f t="shared" si="3"/>
        <v>0</v>
      </c>
      <c r="P69" s="342">
        <v>0</v>
      </c>
      <c r="Q69" s="342">
        <v>0</v>
      </c>
      <c r="R69" s="342">
        <v>0</v>
      </c>
      <c r="S69" s="342">
        <v>0</v>
      </c>
      <c r="T69" s="342">
        <v>0</v>
      </c>
    </row>
    <row r="70" spans="1:20" s="95" customFormat="1" ht="25.5">
      <c r="A70" s="144">
        <v>58</v>
      </c>
      <c r="B70" s="166" t="s">
        <v>246</v>
      </c>
      <c r="C70" s="215">
        <v>16639505</v>
      </c>
      <c r="D70" s="215">
        <v>1951730</v>
      </c>
      <c r="E70" s="215">
        <v>82660.52</v>
      </c>
      <c r="F70" s="185">
        <v>112129</v>
      </c>
      <c r="G70" s="185">
        <v>28739</v>
      </c>
      <c r="H70" s="212">
        <f t="shared" si="1"/>
        <v>52337</v>
      </c>
      <c r="I70" s="215">
        <v>49068</v>
      </c>
      <c r="J70" s="215">
        <v>3269</v>
      </c>
      <c r="K70" s="215">
        <v>427</v>
      </c>
      <c r="L70" s="215">
        <v>416</v>
      </c>
      <c r="M70" s="212">
        <f t="shared" si="2"/>
        <v>374</v>
      </c>
      <c r="N70" s="215">
        <v>283</v>
      </c>
      <c r="O70" s="212">
        <f t="shared" si="3"/>
        <v>91</v>
      </c>
      <c r="P70" s="215">
        <v>39</v>
      </c>
      <c r="Q70" s="215">
        <v>52</v>
      </c>
      <c r="R70" s="342">
        <v>0</v>
      </c>
      <c r="S70" s="342">
        <v>0</v>
      </c>
      <c r="T70" s="342">
        <v>0</v>
      </c>
    </row>
    <row r="71" spans="1:20" s="95" customFormat="1" ht="18" customHeight="1">
      <c r="A71" s="144">
        <v>59</v>
      </c>
      <c r="B71" s="166" t="s">
        <v>247</v>
      </c>
      <c r="C71" s="215">
        <v>121002</v>
      </c>
      <c r="D71" s="215">
        <v>5882</v>
      </c>
      <c r="E71" s="215">
        <v>358.294</v>
      </c>
      <c r="F71" s="185">
        <v>37204</v>
      </c>
      <c r="G71" s="185">
        <v>6947</v>
      </c>
      <c r="H71" s="212">
        <f t="shared" si="1"/>
        <v>14425</v>
      </c>
      <c r="I71" s="215">
        <v>14178</v>
      </c>
      <c r="J71" s="215">
        <v>247</v>
      </c>
      <c r="K71" s="215">
        <v>31</v>
      </c>
      <c r="L71" s="215">
        <v>29</v>
      </c>
      <c r="M71" s="212">
        <f t="shared" si="2"/>
        <v>35</v>
      </c>
      <c r="N71" s="215">
        <v>34</v>
      </c>
      <c r="O71" s="212">
        <f t="shared" si="3"/>
        <v>1</v>
      </c>
      <c r="P71" s="215">
        <v>1</v>
      </c>
      <c r="Q71" s="342">
        <v>0</v>
      </c>
      <c r="R71" s="342">
        <v>0</v>
      </c>
      <c r="S71" s="342">
        <v>0</v>
      </c>
      <c r="T71" s="342">
        <v>0</v>
      </c>
    </row>
    <row r="72" spans="1:20" s="95" customFormat="1" ht="25.5">
      <c r="A72" s="144">
        <v>60</v>
      </c>
      <c r="B72" s="166" t="s">
        <v>248</v>
      </c>
      <c r="C72" s="215">
        <v>407337</v>
      </c>
      <c r="D72" s="215">
        <v>2879</v>
      </c>
      <c r="E72" s="215">
        <v>3072.7</v>
      </c>
      <c r="F72" s="185">
        <v>21516</v>
      </c>
      <c r="G72" s="185">
        <v>4696</v>
      </c>
      <c r="H72" s="212">
        <f t="shared" si="1"/>
        <v>8056</v>
      </c>
      <c r="I72" s="215">
        <v>8031</v>
      </c>
      <c r="J72" s="215">
        <v>25</v>
      </c>
      <c r="K72" s="215">
        <v>10</v>
      </c>
      <c r="L72" s="215">
        <v>10</v>
      </c>
      <c r="M72" s="212">
        <f t="shared" si="2"/>
        <v>47</v>
      </c>
      <c r="N72" s="215">
        <v>34</v>
      </c>
      <c r="O72" s="212">
        <f t="shared" si="3"/>
        <v>13</v>
      </c>
      <c r="P72" s="342">
        <v>0</v>
      </c>
      <c r="Q72" s="342">
        <v>0</v>
      </c>
      <c r="R72" s="215">
        <v>13</v>
      </c>
      <c r="S72" s="342">
        <v>0</v>
      </c>
      <c r="T72" s="342">
        <v>0</v>
      </c>
    </row>
    <row r="73" spans="1:20" s="95" customFormat="1" ht="15.75">
      <c r="A73" s="144">
        <v>61</v>
      </c>
      <c r="B73" s="166" t="s">
        <v>249</v>
      </c>
      <c r="C73" s="215">
        <v>657705</v>
      </c>
      <c r="D73" s="215">
        <v>37172</v>
      </c>
      <c r="E73" s="295">
        <v>846475.942</v>
      </c>
      <c r="F73" s="185">
        <v>18833</v>
      </c>
      <c r="G73" s="185">
        <v>5413</v>
      </c>
      <c r="H73" s="212">
        <f t="shared" si="1"/>
        <v>9384</v>
      </c>
      <c r="I73" s="215">
        <v>9015</v>
      </c>
      <c r="J73" s="215">
        <v>369</v>
      </c>
      <c r="K73" s="215">
        <v>125</v>
      </c>
      <c r="L73" s="215">
        <v>124</v>
      </c>
      <c r="M73" s="212">
        <f t="shared" si="2"/>
        <v>34</v>
      </c>
      <c r="N73" s="215">
        <v>24</v>
      </c>
      <c r="O73" s="212">
        <f t="shared" si="3"/>
        <v>10</v>
      </c>
      <c r="P73" s="215">
        <v>9</v>
      </c>
      <c r="Q73" s="215">
        <v>1</v>
      </c>
      <c r="R73" s="342">
        <v>0</v>
      </c>
      <c r="S73" s="342">
        <v>0</v>
      </c>
      <c r="T73" s="342">
        <v>0</v>
      </c>
    </row>
    <row r="74" spans="1:20" s="95" customFormat="1" ht="15.75">
      <c r="A74" s="144">
        <v>62</v>
      </c>
      <c r="B74" s="166" t="s">
        <v>250</v>
      </c>
      <c r="C74" s="215">
        <v>445169</v>
      </c>
      <c r="D74" s="215">
        <v>8101</v>
      </c>
      <c r="E74" s="295">
        <v>750558000</v>
      </c>
      <c r="F74" s="185">
        <v>25239</v>
      </c>
      <c r="G74" s="185">
        <v>5296</v>
      </c>
      <c r="H74" s="212">
        <f t="shared" si="1"/>
        <v>10206</v>
      </c>
      <c r="I74" s="215">
        <v>10169</v>
      </c>
      <c r="J74" s="215">
        <v>37</v>
      </c>
      <c r="K74" s="215">
        <v>16</v>
      </c>
      <c r="L74" s="215">
        <v>15</v>
      </c>
      <c r="M74" s="212">
        <f t="shared" si="2"/>
        <v>39</v>
      </c>
      <c r="N74" s="215">
        <v>36</v>
      </c>
      <c r="O74" s="212">
        <f t="shared" si="3"/>
        <v>3</v>
      </c>
      <c r="P74" s="215">
        <v>3</v>
      </c>
      <c r="Q74" s="342">
        <v>0</v>
      </c>
      <c r="R74" s="342">
        <v>0</v>
      </c>
      <c r="S74" s="342">
        <v>0</v>
      </c>
      <c r="T74" s="342">
        <v>0</v>
      </c>
    </row>
    <row r="75" spans="1:20" s="101" customFormat="1" ht="18" customHeight="1">
      <c r="A75" s="144">
        <v>63</v>
      </c>
      <c r="B75" s="166" t="s">
        <v>251</v>
      </c>
      <c r="C75" s="215">
        <v>286855</v>
      </c>
      <c r="D75" s="215">
        <v>6356</v>
      </c>
      <c r="E75" s="215">
        <v>1082.72</v>
      </c>
      <c r="F75" s="185">
        <v>23562</v>
      </c>
      <c r="G75" s="185">
        <v>3166</v>
      </c>
      <c r="H75" s="212">
        <f t="shared" si="1"/>
        <v>7050</v>
      </c>
      <c r="I75" s="215">
        <v>7036</v>
      </c>
      <c r="J75" s="215">
        <v>14</v>
      </c>
      <c r="K75" s="215">
        <v>9</v>
      </c>
      <c r="L75" s="215">
        <v>8</v>
      </c>
      <c r="M75" s="212">
        <f t="shared" si="2"/>
        <v>45</v>
      </c>
      <c r="N75" s="215">
        <v>45</v>
      </c>
      <c r="O75" s="345">
        <f t="shared" si="3"/>
        <v>0</v>
      </c>
      <c r="P75" s="342">
        <v>0</v>
      </c>
      <c r="Q75" s="342">
        <v>0</v>
      </c>
      <c r="R75" s="342">
        <v>0</v>
      </c>
      <c r="S75" s="342">
        <v>0</v>
      </c>
      <c r="T75" s="342">
        <v>0</v>
      </c>
    </row>
    <row r="76" spans="1:8" s="20" customFormat="1" ht="13.5" customHeight="1">
      <c r="A76"/>
      <c r="B76"/>
      <c r="C76" s="53"/>
      <c r="D76"/>
      <c r="E76" s="310"/>
      <c r="F76"/>
      <c r="G76"/>
      <c r="H76"/>
    </row>
    <row r="77" ht="13.5" customHeight="1"/>
    <row r="78" spans="1:19" s="153" customFormat="1" ht="12.75">
      <c r="A78" s="43"/>
      <c r="B78" s="43" t="s">
        <v>254</v>
      </c>
      <c r="C78" s="32" t="s">
        <v>311</v>
      </c>
      <c r="D78" s="43"/>
      <c r="E78" s="43"/>
      <c r="F78" s="43"/>
      <c r="G78" s="43"/>
      <c r="H78" s="43"/>
      <c r="I78" s="43"/>
      <c r="J78" s="43"/>
      <c r="K78" s="151"/>
      <c r="L78" s="43"/>
      <c r="M78" s="43"/>
      <c r="N78" s="43"/>
      <c r="O78" s="43"/>
      <c r="P78" s="43"/>
      <c r="Q78" s="43"/>
      <c r="R78" s="43"/>
      <c r="S78" s="152"/>
    </row>
    <row r="79" spans="1:18" s="150" customFormat="1" ht="12.75">
      <c r="A79" s="43"/>
      <c r="B79" s="43" t="s">
        <v>290</v>
      </c>
      <c r="C79" s="43" t="s">
        <v>291</v>
      </c>
      <c r="E79" s="43"/>
      <c r="F79" s="43"/>
      <c r="G79" s="43"/>
      <c r="H79" s="43"/>
      <c r="I79" s="43"/>
      <c r="J79" s="43"/>
      <c r="K79" s="151"/>
      <c r="L79" s="43"/>
      <c r="M79" s="43"/>
      <c r="N79" s="43"/>
      <c r="O79" s="43"/>
      <c r="P79" s="43"/>
      <c r="Q79" s="43"/>
      <c r="R79" s="43"/>
    </row>
    <row r="80" spans="1:17" s="150" customFormat="1" ht="12.75">
      <c r="A80" s="43"/>
      <c r="B80" s="156"/>
      <c r="C80" s="156" t="s">
        <v>281</v>
      </c>
      <c r="D80" s="157"/>
      <c r="E80" s="156"/>
      <c r="F80" s="156"/>
      <c r="G80" s="156"/>
      <c r="H80" s="156"/>
      <c r="I80" s="156"/>
      <c r="J80" s="156"/>
      <c r="K80" s="151"/>
      <c r="L80" s="43"/>
      <c r="M80" s="43"/>
      <c r="N80" s="43"/>
      <c r="O80" s="43"/>
      <c r="P80" s="43"/>
      <c r="Q80" s="43"/>
    </row>
    <row r="81" spans="1:17" s="150" customFormat="1" ht="12.75">
      <c r="A81" s="43"/>
      <c r="B81" s="227"/>
      <c r="C81" s="43" t="s">
        <v>258</v>
      </c>
      <c r="E81" s="43"/>
      <c r="F81" s="43"/>
      <c r="G81" s="43"/>
      <c r="H81" s="43"/>
      <c r="I81" s="43"/>
      <c r="J81" s="43"/>
      <c r="K81" s="151"/>
      <c r="L81" s="43"/>
      <c r="M81" s="43"/>
      <c r="N81" s="43"/>
      <c r="O81" s="43"/>
      <c r="P81" s="43"/>
      <c r="Q81" s="43"/>
    </row>
    <row r="82" spans="1:17" s="150" customFormat="1" ht="12.75">
      <c r="A82" s="43"/>
      <c r="B82" s="251"/>
      <c r="C82" s="43" t="s">
        <v>285</v>
      </c>
      <c r="D82" s="43"/>
      <c r="E82" s="43"/>
      <c r="F82" s="43"/>
      <c r="G82" s="43"/>
      <c r="H82" s="43"/>
      <c r="I82" s="43"/>
      <c r="J82" s="43"/>
      <c r="K82" s="43"/>
      <c r="L82" s="43"/>
      <c r="M82" s="43"/>
      <c r="N82" s="43"/>
      <c r="O82" s="43"/>
      <c r="P82" s="43"/>
      <c r="Q82" s="43"/>
    </row>
    <row r="83" spans="1:17" s="150" customFormat="1" ht="12.75">
      <c r="A83" s="43"/>
      <c r="B83" s="228"/>
      <c r="C83" s="43" t="s">
        <v>286</v>
      </c>
      <c r="D83" s="43"/>
      <c r="E83" s="43"/>
      <c r="F83" s="43"/>
      <c r="G83" s="43"/>
      <c r="H83" s="43"/>
      <c r="I83" s="43"/>
      <c r="J83" s="43"/>
      <c r="K83" s="43"/>
      <c r="L83" s="43"/>
      <c r="M83" s="43"/>
      <c r="N83" s="43"/>
      <c r="O83" s="43"/>
      <c r="P83" s="43"/>
      <c r="Q83" s="43"/>
    </row>
    <row r="84" spans="2:17" s="5" customFormat="1" ht="12.75">
      <c r="B84" s="252"/>
      <c r="C84" s="43" t="s">
        <v>288</v>
      </c>
      <c r="L84" s="16"/>
      <c r="Q84"/>
    </row>
    <row r="85" spans="1:20" s="153" customFormat="1" ht="12.75">
      <c r="A85" s="43"/>
      <c r="B85" s="43"/>
      <c r="C85" s="32"/>
      <c r="D85" s="43"/>
      <c r="E85" s="311"/>
      <c r="F85" s="43"/>
      <c r="G85" s="43"/>
      <c r="H85" s="43"/>
      <c r="I85" s="43"/>
      <c r="J85" s="43"/>
      <c r="K85" s="151"/>
      <c r="L85" s="43"/>
      <c r="M85" s="43"/>
      <c r="N85" s="43"/>
      <c r="O85" s="43"/>
      <c r="P85" s="43"/>
      <c r="Q85" s="43"/>
      <c r="R85" s="43"/>
      <c r="S85" s="152"/>
      <c r="T85" s="152"/>
    </row>
    <row r="86" spans="1:20" s="153" customFormat="1" ht="12.75">
      <c r="A86" s="43"/>
      <c r="B86" s="43" t="s">
        <v>301</v>
      </c>
      <c r="C86" s="32"/>
      <c r="D86" s="43"/>
      <c r="E86" s="311"/>
      <c r="F86" s="43"/>
      <c r="G86" s="43"/>
      <c r="H86" s="43"/>
      <c r="I86" s="43"/>
      <c r="J86" s="43"/>
      <c r="K86" s="151"/>
      <c r="L86" s="43"/>
      <c r="M86" s="43"/>
      <c r="N86" s="43"/>
      <c r="O86" s="43"/>
      <c r="P86" s="43"/>
      <c r="Q86" s="43"/>
      <c r="R86" s="43"/>
      <c r="S86" s="152"/>
      <c r="T86" s="152"/>
    </row>
    <row r="87" spans="1:20" s="153" customFormat="1" ht="12.75">
      <c r="A87" s="43"/>
      <c r="B87" s="43" t="s">
        <v>307</v>
      </c>
      <c r="C87" s="32"/>
      <c r="D87" s="43"/>
      <c r="E87" s="311"/>
      <c r="F87" s="43"/>
      <c r="G87" s="43"/>
      <c r="H87" s="43"/>
      <c r="I87" s="43"/>
      <c r="J87" s="43"/>
      <c r="K87" s="151"/>
      <c r="L87" s="43"/>
      <c r="M87" s="43"/>
      <c r="N87" s="43"/>
      <c r="O87" s="43"/>
      <c r="P87" s="43"/>
      <c r="Q87" s="43"/>
      <c r="R87" s="43"/>
      <c r="S87" s="152"/>
      <c r="T87" s="152"/>
    </row>
    <row r="88" spans="1:20" s="153" customFormat="1" ht="12.75">
      <c r="A88" s="43"/>
      <c r="B88" s="43"/>
      <c r="C88" s="32"/>
      <c r="D88" s="43"/>
      <c r="E88" s="311"/>
      <c r="F88" s="43"/>
      <c r="G88" s="43"/>
      <c r="H88" s="43"/>
      <c r="I88" s="43"/>
      <c r="J88" s="43"/>
      <c r="K88" s="151"/>
      <c r="L88" s="43"/>
      <c r="M88" s="43"/>
      <c r="N88" s="43"/>
      <c r="O88" s="43"/>
      <c r="P88" s="43"/>
      <c r="Q88" s="43"/>
      <c r="R88" s="43"/>
      <c r="S88" s="152"/>
      <c r="T88" s="152"/>
    </row>
    <row r="89" spans="1:8" s="20" customFormat="1" ht="13.5" customHeight="1">
      <c r="A89"/>
      <c r="B89"/>
      <c r="C89" s="53"/>
      <c r="D89"/>
      <c r="E89" s="310"/>
      <c r="F89"/>
      <c r="G89"/>
      <c r="H89"/>
    </row>
    <row r="90" ht="13.5" customHeight="1"/>
    <row r="91" ht="13.5" customHeight="1"/>
    <row r="92" ht="13.5" customHeight="1"/>
    <row r="93" ht="13.5" customHeight="1"/>
    <row r="94" ht="13.5" customHeight="1"/>
    <row r="95" ht="13.5" customHeight="1"/>
    <row r="96" ht="13.5" customHeight="1"/>
    <row r="97" ht="13.5" customHeight="1"/>
    <row r="98" ht="13.5" customHeight="1"/>
    <row r="99" spans="1:8" s="20" customFormat="1" ht="13.5" customHeight="1">
      <c r="A99"/>
      <c r="B99"/>
      <c r="C99" s="53"/>
      <c r="D99"/>
      <c r="E99" s="310"/>
      <c r="F99"/>
      <c r="G99"/>
      <c r="H99"/>
    </row>
    <row r="100" spans="1:8" s="20" customFormat="1" ht="13.5" customHeight="1">
      <c r="A100"/>
      <c r="B100"/>
      <c r="C100" s="53"/>
      <c r="D100"/>
      <c r="E100" s="310"/>
      <c r="F100"/>
      <c r="G100"/>
      <c r="H100"/>
    </row>
    <row r="101" ht="13.5" customHeight="1"/>
    <row r="102" ht="13.5" customHeight="1"/>
    <row r="103" ht="13.5" customHeight="1"/>
    <row r="104" ht="13.5" customHeight="1"/>
    <row r="105" ht="13.5" customHeight="1"/>
    <row r="106" spans="1:8" s="20" customFormat="1" ht="13.5" customHeight="1">
      <c r="A106"/>
      <c r="B106"/>
      <c r="C106" s="53"/>
      <c r="D106"/>
      <c r="E106" s="310"/>
      <c r="F106"/>
      <c r="G106"/>
      <c r="H106"/>
    </row>
    <row r="107" ht="13.5" customHeight="1"/>
    <row r="108" ht="13.5" customHeight="1"/>
    <row r="109" ht="13.5" customHeight="1"/>
    <row r="110" ht="13.5" customHeight="1"/>
    <row r="111" ht="13.5" customHeight="1"/>
    <row r="112" ht="13.5" customHeight="1"/>
    <row r="113" ht="13.5" customHeight="1"/>
    <row r="114" spans="1:8" s="20" customFormat="1" ht="13.5" customHeight="1">
      <c r="A114"/>
      <c r="B114"/>
      <c r="C114" s="53"/>
      <c r="D114"/>
      <c r="E114" s="310"/>
      <c r="F114"/>
      <c r="G114"/>
      <c r="H114"/>
    </row>
    <row r="115" ht="13.5" customHeight="1"/>
    <row r="116" ht="13.5" customHeight="1"/>
    <row r="117" ht="16.5" customHeight="1"/>
    <row r="118" ht="7.5" customHeight="1"/>
  </sheetData>
  <sheetProtection/>
  <mergeCells count="31">
    <mergeCell ref="A2:R2"/>
    <mergeCell ref="N8:N10"/>
    <mergeCell ref="O8:R8"/>
    <mergeCell ref="I9:I10"/>
    <mergeCell ref="J9:J10"/>
    <mergeCell ref="K9:K10"/>
    <mergeCell ref="L9:L10"/>
    <mergeCell ref="M6:R6"/>
    <mergeCell ref="C6:E6"/>
    <mergeCell ref="A6:B10"/>
    <mergeCell ref="H7:J7"/>
    <mergeCell ref="H8:H10"/>
    <mergeCell ref="I8:J8"/>
    <mergeCell ref="A3:T3"/>
    <mergeCell ref="A4:T4"/>
    <mergeCell ref="S6:T6"/>
    <mergeCell ref="A11:B11"/>
    <mergeCell ref="C7:C10"/>
    <mergeCell ref="P9:R9"/>
    <mergeCell ref="D7:D10"/>
    <mergeCell ref="O9:O10"/>
    <mergeCell ref="M7:M10"/>
    <mergeCell ref="K7:L8"/>
    <mergeCell ref="S7:S10"/>
    <mergeCell ref="F6:L6"/>
    <mergeCell ref="T7:T10"/>
    <mergeCell ref="A12:B12"/>
    <mergeCell ref="F7:F10"/>
    <mergeCell ref="G7:G10"/>
    <mergeCell ref="E7:E10"/>
    <mergeCell ref="N7:R7"/>
  </mergeCells>
  <printOptions/>
  <pageMargins left="1.3" right="0.2" top="1" bottom="0.5" header="0" footer="0"/>
  <pageSetup horizontalDpi="600" verticalDpi="600" orientation="landscape" paperSize="8" r:id="rId2"/>
  <drawing r:id="rId1"/>
</worksheet>
</file>

<file path=xl/worksheets/sheet6.xml><?xml version="1.0" encoding="utf-8"?>
<worksheet xmlns="http://schemas.openxmlformats.org/spreadsheetml/2006/main" xmlns:r="http://schemas.openxmlformats.org/officeDocument/2006/relationships">
  <dimension ref="A1:S82"/>
  <sheetViews>
    <sheetView zoomScalePageLayoutView="0" workbookViewId="0" topLeftCell="A73">
      <selection activeCell="A4" sqref="A4:Q4"/>
    </sheetView>
  </sheetViews>
  <sheetFormatPr defaultColWidth="9.140625" defaultRowHeight="12.75"/>
  <cols>
    <col min="1" max="1" width="4.421875" style="20" customWidth="1"/>
    <col min="2" max="2" width="12.00390625" style="20" customWidth="1"/>
    <col min="3" max="3" width="10.57421875" style="20" customWidth="1"/>
    <col min="4" max="4" width="10.140625" style="20" customWidth="1"/>
    <col min="5" max="5" width="7.7109375" style="20" customWidth="1"/>
    <col min="6" max="6" width="10.00390625" style="20" customWidth="1"/>
    <col min="7" max="7" width="8.421875" style="20" customWidth="1"/>
    <col min="8" max="8" width="8.7109375" style="20" customWidth="1"/>
    <col min="9" max="9" width="9.7109375" style="20" customWidth="1"/>
    <col min="10" max="10" width="6.8515625" style="20" customWidth="1"/>
    <col min="11" max="12" width="8.421875" style="20" customWidth="1"/>
    <col min="13" max="13" width="7.8515625" style="20" customWidth="1"/>
    <col min="14" max="14" width="5.57421875" style="20" customWidth="1"/>
    <col min="15" max="15" width="5.8515625" style="20" customWidth="1"/>
    <col min="16" max="16" width="6.140625" style="20" customWidth="1"/>
    <col min="17" max="17" width="8.28125" style="20" customWidth="1"/>
    <col min="18" max="16384" width="9.140625" style="20" customWidth="1"/>
  </cols>
  <sheetData>
    <row r="1" spans="1:5" s="43" customFormat="1" ht="21.75" customHeight="1">
      <c r="A1" s="79" t="s">
        <v>7</v>
      </c>
      <c r="D1" s="79"/>
      <c r="E1" s="40"/>
    </row>
    <row r="2" spans="4:17" s="43" customFormat="1" ht="25.5" customHeight="1">
      <c r="D2" s="41"/>
      <c r="E2" s="330"/>
      <c r="F2" s="41"/>
      <c r="G2" s="41"/>
      <c r="H2" s="41"/>
      <c r="I2" s="41" t="s">
        <v>71</v>
      </c>
      <c r="J2" s="41"/>
      <c r="K2" s="41"/>
      <c r="L2" s="44"/>
      <c r="M2" s="44"/>
      <c r="N2" s="44"/>
      <c r="O2" s="44"/>
      <c r="P2" s="44"/>
      <c r="Q2" s="44"/>
    </row>
    <row r="3" spans="1:17" s="43" customFormat="1" ht="29.25" customHeight="1">
      <c r="A3" s="438" t="s">
        <v>147</v>
      </c>
      <c r="B3" s="438"/>
      <c r="C3" s="438"/>
      <c r="D3" s="438"/>
      <c r="E3" s="438"/>
      <c r="F3" s="438"/>
      <c r="G3" s="438"/>
      <c r="H3" s="438"/>
      <c r="I3" s="438"/>
      <c r="J3" s="438"/>
      <c r="K3" s="438"/>
      <c r="L3" s="438"/>
      <c r="M3" s="438"/>
      <c r="N3" s="438"/>
      <c r="O3" s="438"/>
      <c r="P3" s="438"/>
      <c r="Q3" s="438"/>
    </row>
    <row r="4" spans="1:17" s="43" customFormat="1" ht="18.75">
      <c r="A4" s="438" t="s">
        <v>298</v>
      </c>
      <c r="B4" s="438"/>
      <c r="C4" s="438"/>
      <c r="D4" s="438"/>
      <c r="E4" s="438"/>
      <c r="F4" s="438"/>
      <c r="G4" s="438"/>
      <c r="H4" s="438"/>
      <c r="I4" s="438"/>
      <c r="J4" s="438"/>
      <c r="K4" s="438"/>
      <c r="L4" s="438"/>
      <c r="M4" s="438"/>
      <c r="N4" s="438"/>
      <c r="O4" s="438"/>
      <c r="P4" s="438"/>
      <c r="Q4" s="438"/>
    </row>
    <row r="5" spans="6:17" ht="12.75">
      <c r="F5" s="69"/>
      <c r="G5" s="43"/>
      <c r="H5" s="43"/>
      <c r="I5" s="43"/>
      <c r="J5" s="43"/>
      <c r="K5" s="43"/>
      <c r="L5" s="43"/>
      <c r="M5" s="43"/>
      <c r="N5" s="43"/>
      <c r="O5" s="43"/>
      <c r="P5" s="43"/>
      <c r="Q5" s="43"/>
    </row>
    <row r="6" spans="1:17" ht="28.5" customHeight="1">
      <c r="A6" s="467"/>
      <c r="B6" s="468"/>
      <c r="C6" s="475" t="s">
        <v>112</v>
      </c>
      <c r="D6" s="476"/>
      <c r="E6" s="477"/>
      <c r="F6" s="463" t="s">
        <v>113</v>
      </c>
      <c r="G6" s="463"/>
      <c r="H6" s="463"/>
      <c r="I6" s="463"/>
      <c r="J6" s="463"/>
      <c r="K6" s="463"/>
      <c r="L6" s="463" t="s">
        <v>114</v>
      </c>
      <c r="M6" s="463"/>
      <c r="N6" s="463"/>
      <c r="O6" s="463"/>
      <c r="P6" s="463"/>
      <c r="Q6" s="463"/>
    </row>
    <row r="7" spans="1:17" ht="24.75" customHeight="1">
      <c r="A7" s="469"/>
      <c r="B7" s="470"/>
      <c r="C7" s="399" t="s">
        <v>9</v>
      </c>
      <c r="D7" s="478" t="s">
        <v>69</v>
      </c>
      <c r="E7" s="478"/>
      <c r="F7" s="464" t="s">
        <v>9</v>
      </c>
      <c r="G7" s="459" t="s">
        <v>105</v>
      </c>
      <c r="H7" s="459"/>
      <c r="I7" s="459"/>
      <c r="J7" s="459" t="s">
        <v>106</v>
      </c>
      <c r="K7" s="459"/>
      <c r="L7" s="464" t="s">
        <v>9</v>
      </c>
      <c r="M7" s="459" t="s">
        <v>105</v>
      </c>
      <c r="N7" s="459"/>
      <c r="O7" s="459"/>
      <c r="P7" s="459" t="s">
        <v>106</v>
      </c>
      <c r="Q7" s="459"/>
    </row>
    <row r="8" spans="1:17" s="75" customFormat="1" ht="88.5" customHeight="1">
      <c r="A8" s="471"/>
      <c r="B8" s="472"/>
      <c r="C8" s="399"/>
      <c r="D8" s="50" t="s">
        <v>19</v>
      </c>
      <c r="E8" s="50" t="s">
        <v>20</v>
      </c>
      <c r="F8" s="464"/>
      <c r="G8" s="50" t="s">
        <v>19</v>
      </c>
      <c r="H8" s="50" t="s">
        <v>20</v>
      </c>
      <c r="I8" s="50" t="s">
        <v>21</v>
      </c>
      <c r="J8" s="50" t="s">
        <v>107</v>
      </c>
      <c r="K8" s="50" t="s">
        <v>108</v>
      </c>
      <c r="L8" s="464"/>
      <c r="M8" s="50" t="s">
        <v>19</v>
      </c>
      <c r="N8" s="50" t="s">
        <v>20</v>
      </c>
      <c r="O8" s="50" t="s">
        <v>109</v>
      </c>
      <c r="P8" s="50" t="s">
        <v>110</v>
      </c>
      <c r="Q8" s="50" t="s">
        <v>111</v>
      </c>
    </row>
    <row r="9" spans="1:17" s="77" customFormat="1" ht="12.75">
      <c r="A9" s="473" t="s">
        <v>40</v>
      </c>
      <c r="B9" s="474"/>
      <c r="C9" s="76">
        <v>1</v>
      </c>
      <c r="D9" s="76">
        <v>2</v>
      </c>
      <c r="E9" s="76">
        <v>3</v>
      </c>
      <c r="F9" s="76">
        <v>4</v>
      </c>
      <c r="G9" s="76">
        <v>5</v>
      </c>
      <c r="H9" s="76">
        <v>6</v>
      </c>
      <c r="I9" s="76">
        <v>7</v>
      </c>
      <c r="J9" s="76">
        <v>8</v>
      </c>
      <c r="K9" s="76">
        <v>9</v>
      </c>
      <c r="L9" s="76">
        <v>10</v>
      </c>
      <c r="M9" s="76">
        <v>11</v>
      </c>
      <c r="N9" s="76">
        <v>12</v>
      </c>
      <c r="O9" s="76">
        <v>13</v>
      </c>
      <c r="P9" s="76">
        <v>14</v>
      </c>
      <c r="Q9" s="76">
        <v>15</v>
      </c>
    </row>
    <row r="10" spans="1:17" s="318" customFormat="1" ht="31.5" customHeight="1">
      <c r="A10" s="465" t="s">
        <v>96</v>
      </c>
      <c r="B10" s="466"/>
      <c r="C10" s="172">
        <f aca="true" t="shared" si="0" ref="C10:Q10">SUM(C11:C73)</f>
        <v>144440</v>
      </c>
      <c r="D10" s="172">
        <f t="shared" si="0"/>
        <v>140907</v>
      </c>
      <c r="E10" s="172">
        <f t="shared" si="0"/>
        <v>3533</v>
      </c>
      <c r="F10" s="172">
        <f t="shared" si="0"/>
        <v>216758</v>
      </c>
      <c r="G10" s="134">
        <f t="shared" si="0"/>
        <v>184004</v>
      </c>
      <c r="H10" s="172">
        <f t="shared" si="0"/>
        <v>5574</v>
      </c>
      <c r="I10" s="172">
        <f t="shared" si="0"/>
        <v>6</v>
      </c>
      <c r="J10" s="172">
        <f t="shared" si="0"/>
        <v>479</v>
      </c>
      <c r="K10" s="134">
        <f>SUM(K11:K73)</f>
        <v>213503</v>
      </c>
      <c r="L10" s="134">
        <f t="shared" si="0"/>
        <v>54163</v>
      </c>
      <c r="M10" s="134">
        <f t="shared" si="0"/>
        <v>33706</v>
      </c>
      <c r="N10" s="172">
        <f t="shared" si="0"/>
        <v>87</v>
      </c>
      <c r="O10" s="172">
        <f t="shared" si="0"/>
        <v>4</v>
      </c>
      <c r="P10" s="172">
        <f t="shared" si="0"/>
        <v>525</v>
      </c>
      <c r="Q10" s="134">
        <f t="shared" si="0"/>
        <v>53538</v>
      </c>
    </row>
    <row r="11" spans="1:17" ht="15.75">
      <c r="A11" s="118">
        <v>1</v>
      </c>
      <c r="B11" s="119" t="s">
        <v>168</v>
      </c>
      <c r="C11" s="212">
        <f>D11+E11</f>
        <v>3956</v>
      </c>
      <c r="D11" s="215">
        <v>3950</v>
      </c>
      <c r="E11" s="215">
        <v>6</v>
      </c>
      <c r="F11" s="212">
        <f>G11+H11+I11</f>
        <v>7014</v>
      </c>
      <c r="G11" s="215">
        <v>7002</v>
      </c>
      <c r="H11" s="215">
        <v>12</v>
      </c>
      <c r="I11" s="342">
        <v>0</v>
      </c>
      <c r="J11" s="275">
        <v>4</v>
      </c>
      <c r="K11" s="215">
        <v>7010</v>
      </c>
      <c r="L11" s="212">
        <f>M11+N11+O11</f>
        <v>898</v>
      </c>
      <c r="M11" s="215">
        <v>898</v>
      </c>
      <c r="N11" s="342">
        <v>0</v>
      </c>
      <c r="O11" s="342">
        <v>0</v>
      </c>
      <c r="P11" s="215">
        <v>8</v>
      </c>
      <c r="Q11" s="215">
        <v>890</v>
      </c>
    </row>
    <row r="12" spans="1:17" ht="30">
      <c r="A12" s="118">
        <v>2</v>
      </c>
      <c r="B12" s="119" t="s">
        <v>253</v>
      </c>
      <c r="C12" s="212">
        <f aca="true" t="shared" si="1" ref="C12:C26">D12+E12</f>
        <v>2122</v>
      </c>
      <c r="D12" s="215">
        <v>2122</v>
      </c>
      <c r="E12" s="342">
        <v>0</v>
      </c>
      <c r="F12" s="212">
        <f aca="true" t="shared" si="2" ref="F12:F33">G12+H12+I12</f>
        <v>3039</v>
      </c>
      <c r="G12" s="215">
        <v>2667</v>
      </c>
      <c r="H12" s="215">
        <v>372</v>
      </c>
      <c r="I12" s="342">
        <v>0</v>
      </c>
      <c r="J12" s="215">
        <v>2</v>
      </c>
      <c r="K12" s="215">
        <v>3037</v>
      </c>
      <c r="L12" s="212">
        <f>M12+N12+O12</f>
        <v>1459</v>
      </c>
      <c r="M12" s="215">
        <v>1459</v>
      </c>
      <c r="N12" s="342">
        <v>0</v>
      </c>
      <c r="O12" s="342">
        <v>0</v>
      </c>
      <c r="P12" s="215">
        <v>21</v>
      </c>
      <c r="Q12" s="215">
        <v>1438</v>
      </c>
    </row>
    <row r="13" spans="1:17" ht="15.75">
      <c r="A13" s="118">
        <v>3</v>
      </c>
      <c r="B13" s="119" t="s">
        <v>169</v>
      </c>
      <c r="C13" s="212">
        <f t="shared" si="1"/>
        <v>475</v>
      </c>
      <c r="D13" s="215">
        <v>475</v>
      </c>
      <c r="E13" s="342">
        <v>0</v>
      </c>
      <c r="F13" s="212">
        <f t="shared" si="2"/>
        <v>4690</v>
      </c>
      <c r="G13" s="215">
        <v>4600</v>
      </c>
      <c r="H13" s="215">
        <v>90</v>
      </c>
      <c r="I13" s="342">
        <v>0</v>
      </c>
      <c r="J13" s="215">
        <v>4</v>
      </c>
      <c r="K13" s="215">
        <v>4686</v>
      </c>
      <c r="L13" s="212">
        <f>M13+N13+O13</f>
        <v>32</v>
      </c>
      <c r="M13" s="215">
        <v>32</v>
      </c>
      <c r="N13" s="342">
        <v>0</v>
      </c>
      <c r="O13" s="342">
        <v>0</v>
      </c>
      <c r="P13" s="215"/>
      <c r="Q13" s="215">
        <v>32</v>
      </c>
    </row>
    <row r="14" spans="1:17" ht="15.75">
      <c r="A14" s="118">
        <v>4</v>
      </c>
      <c r="B14" s="119" t="s">
        <v>170</v>
      </c>
      <c r="C14" s="212">
        <f t="shared" si="1"/>
        <v>328</v>
      </c>
      <c r="D14" s="215">
        <v>328</v>
      </c>
      <c r="E14" s="342">
        <v>0</v>
      </c>
      <c r="F14" s="212">
        <f t="shared" si="2"/>
        <v>319</v>
      </c>
      <c r="G14" s="215">
        <v>319</v>
      </c>
      <c r="H14" s="342">
        <v>0</v>
      </c>
      <c r="I14" s="342">
        <v>0</v>
      </c>
      <c r="J14" s="215">
        <v>5</v>
      </c>
      <c r="K14" s="215">
        <v>314</v>
      </c>
      <c r="L14" s="212">
        <f>M14+N14+O14</f>
        <v>6</v>
      </c>
      <c r="M14" s="215">
        <v>6</v>
      </c>
      <c r="N14" s="342">
        <v>0</v>
      </c>
      <c r="O14" s="342">
        <v>0</v>
      </c>
      <c r="P14" s="342">
        <v>0</v>
      </c>
      <c r="Q14" s="215">
        <v>6</v>
      </c>
    </row>
    <row r="15" spans="1:17" ht="15.75">
      <c r="A15" s="118">
        <v>5</v>
      </c>
      <c r="B15" s="119" t="s">
        <v>171</v>
      </c>
      <c r="C15" s="212">
        <f t="shared" si="1"/>
        <v>2046</v>
      </c>
      <c r="D15" s="215">
        <v>2046</v>
      </c>
      <c r="E15" s="342">
        <v>0</v>
      </c>
      <c r="F15" s="212">
        <f t="shared" si="2"/>
        <v>1185</v>
      </c>
      <c r="G15" s="215">
        <v>1185</v>
      </c>
      <c r="H15" s="342">
        <v>0</v>
      </c>
      <c r="I15" s="342">
        <v>0</v>
      </c>
      <c r="J15" s="215">
        <v>2</v>
      </c>
      <c r="K15" s="215">
        <v>1183</v>
      </c>
      <c r="L15" s="212">
        <f>M15+N15+O15</f>
        <v>413</v>
      </c>
      <c r="M15" s="215">
        <v>413</v>
      </c>
      <c r="N15" s="342">
        <v>0</v>
      </c>
      <c r="O15" s="342">
        <v>0</v>
      </c>
      <c r="P15" s="342">
        <v>0</v>
      </c>
      <c r="Q15" s="215">
        <v>413</v>
      </c>
    </row>
    <row r="16" spans="1:17" ht="15.75">
      <c r="A16" s="118">
        <v>6</v>
      </c>
      <c r="B16" s="119" t="s">
        <v>172</v>
      </c>
      <c r="C16" s="212">
        <f t="shared" si="1"/>
        <v>2394</v>
      </c>
      <c r="D16" s="215">
        <v>2164</v>
      </c>
      <c r="E16" s="215">
        <v>230</v>
      </c>
      <c r="F16" s="212">
        <f t="shared" si="2"/>
        <v>2448</v>
      </c>
      <c r="G16" s="215">
        <v>2218</v>
      </c>
      <c r="H16" s="215">
        <v>230</v>
      </c>
      <c r="I16" s="342">
        <v>0</v>
      </c>
      <c r="J16" s="215">
        <v>1</v>
      </c>
      <c r="K16" s="215">
        <v>2447</v>
      </c>
      <c r="L16" s="212">
        <f aca="true" t="shared" si="3" ref="L16:L73">M16+N16+O16</f>
        <v>46</v>
      </c>
      <c r="M16" s="215">
        <v>46</v>
      </c>
      <c r="N16" s="215"/>
      <c r="O16" s="215"/>
      <c r="P16" s="342">
        <v>0</v>
      </c>
      <c r="Q16" s="215">
        <v>46</v>
      </c>
    </row>
    <row r="17" spans="1:17" ht="15.75">
      <c r="A17" s="118">
        <v>7</v>
      </c>
      <c r="B17" s="119" t="s">
        <v>173</v>
      </c>
      <c r="C17" s="212">
        <f t="shared" si="1"/>
        <v>677</v>
      </c>
      <c r="D17" s="215">
        <v>677</v>
      </c>
      <c r="E17" s="342">
        <v>0</v>
      </c>
      <c r="F17" s="212">
        <f t="shared" si="2"/>
        <v>2336</v>
      </c>
      <c r="G17" s="215">
        <v>2328</v>
      </c>
      <c r="H17" s="215">
        <v>8</v>
      </c>
      <c r="I17" s="342">
        <v>0</v>
      </c>
      <c r="J17" s="215">
        <v>1</v>
      </c>
      <c r="K17" s="215">
        <v>2335</v>
      </c>
      <c r="L17" s="212">
        <f t="shared" si="3"/>
        <v>834</v>
      </c>
      <c r="M17" s="215">
        <v>833</v>
      </c>
      <c r="N17" s="215">
        <v>1</v>
      </c>
      <c r="O17" s="342">
        <v>0</v>
      </c>
      <c r="P17" s="215">
        <v>1</v>
      </c>
      <c r="Q17" s="215">
        <v>833</v>
      </c>
    </row>
    <row r="18" spans="1:17" ht="15.75">
      <c r="A18" s="118">
        <v>8</v>
      </c>
      <c r="B18" s="119" t="s">
        <v>174</v>
      </c>
      <c r="C18" s="212">
        <f t="shared" si="1"/>
        <v>1700</v>
      </c>
      <c r="D18" s="215">
        <v>1700</v>
      </c>
      <c r="E18" s="342">
        <v>0</v>
      </c>
      <c r="F18" s="212">
        <f t="shared" si="2"/>
        <v>1529</v>
      </c>
      <c r="G18" s="215">
        <v>1524</v>
      </c>
      <c r="H18" s="215">
        <v>5</v>
      </c>
      <c r="I18" s="342">
        <v>0</v>
      </c>
      <c r="J18" s="342">
        <v>0</v>
      </c>
      <c r="K18" s="215">
        <v>1529</v>
      </c>
      <c r="L18" s="212">
        <f t="shared" si="3"/>
        <v>323</v>
      </c>
      <c r="M18" s="215">
        <v>323</v>
      </c>
      <c r="N18" s="342">
        <v>0</v>
      </c>
      <c r="O18" s="342">
        <v>0</v>
      </c>
      <c r="P18" s="215">
        <v>2</v>
      </c>
      <c r="Q18" s="215">
        <v>323</v>
      </c>
    </row>
    <row r="19" spans="1:17" ht="15.75">
      <c r="A19" s="118">
        <v>9</v>
      </c>
      <c r="B19" s="119" t="s">
        <v>175</v>
      </c>
      <c r="C19" s="212">
        <f t="shared" si="1"/>
        <v>1078</v>
      </c>
      <c r="D19" s="215">
        <v>1078</v>
      </c>
      <c r="E19" s="342">
        <v>0</v>
      </c>
      <c r="F19" s="212">
        <f t="shared" si="2"/>
        <v>1722</v>
      </c>
      <c r="G19" s="215">
        <v>947</v>
      </c>
      <c r="H19" s="215">
        <v>775</v>
      </c>
      <c r="I19" s="342">
        <v>0</v>
      </c>
      <c r="J19" s="215">
        <v>1</v>
      </c>
      <c r="K19" s="215">
        <v>1721</v>
      </c>
      <c r="L19" s="212">
        <f t="shared" si="3"/>
        <v>557</v>
      </c>
      <c r="M19" s="215">
        <v>553</v>
      </c>
      <c r="N19" s="215">
        <v>4</v>
      </c>
      <c r="O19" s="342">
        <v>0</v>
      </c>
      <c r="P19" s="215">
        <v>5</v>
      </c>
      <c r="Q19" s="215">
        <v>552</v>
      </c>
    </row>
    <row r="20" spans="1:17" ht="15.75">
      <c r="A20" s="118">
        <v>10</v>
      </c>
      <c r="B20" s="119" t="s">
        <v>176</v>
      </c>
      <c r="C20" s="212">
        <f t="shared" si="1"/>
        <v>186</v>
      </c>
      <c r="D20" s="215">
        <v>186</v>
      </c>
      <c r="E20" s="342">
        <v>0</v>
      </c>
      <c r="F20" s="212">
        <f t="shared" si="2"/>
        <v>766</v>
      </c>
      <c r="G20" s="215">
        <v>759</v>
      </c>
      <c r="H20" s="215">
        <v>7</v>
      </c>
      <c r="I20" s="342">
        <v>0</v>
      </c>
      <c r="J20" s="342">
        <v>0</v>
      </c>
      <c r="K20" s="215">
        <v>766</v>
      </c>
      <c r="L20" s="212">
        <f t="shared" si="3"/>
        <v>186</v>
      </c>
      <c r="M20" s="215">
        <v>185</v>
      </c>
      <c r="N20" s="215">
        <v>1</v>
      </c>
      <c r="O20" s="342">
        <v>0</v>
      </c>
      <c r="P20" s="215">
        <v>1</v>
      </c>
      <c r="Q20" s="215">
        <v>185</v>
      </c>
    </row>
    <row r="21" spans="1:17" ht="15.75">
      <c r="A21" s="118">
        <v>11</v>
      </c>
      <c r="B21" s="119" t="s">
        <v>177</v>
      </c>
      <c r="C21" s="212">
        <f t="shared" si="1"/>
        <v>692</v>
      </c>
      <c r="D21" s="215">
        <v>692</v>
      </c>
      <c r="E21" s="342">
        <v>0</v>
      </c>
      <c r="F21" s="212">
        <f t="shared" si="2"/>
        <v>1819</v>
      </c>
      <c r="G21" s="215">
        <v>1753</v>
      </c>
      <c r="H21" s="215">
        <v>66</v>
      </c>
      <c r="I21" s="342">
        <v>0</v>
      </c>
      <c r="J21" s="342">
        <v>0</v>
      </c>
      <c r="K21" s="215">
        <v>1819</v>
      </c>
      <c r="L21" s="212">
        <f t="shared" si="3"/>
        <v>922</v>
      </c>
      <c r="M21" s="215">
        <v>922</v>
      </c>
      <c r="N21" s="342">
        <v>0</v>
      </c>
      <c r="O21" s="342">
        <v>0</v>
      </c>
      <c r="P21" s="215">
        <v>1</v>
      </c>
      <c r="Q21" s="215">
        <v>921</v>
      </c>
    </row>
    <row r="22" spans="1:17" ht="15.75">
      <c r="A22" s="118">
        <v>12</v>
      </c>
      <c r="B22" s="119" t="s">
        <v>178</v>
      </c>
      <c r="C22" s="212">
        <f t="shared" si="1"/>
        <v>2554</v>
      </c>
      <c r="D22" s="215">
        <v>2554</v>
      </c>
      <c r="E22" s="342">
        <v>0</v>
      </c>
      <c r="F22" s="212">
        <f t="shared" si="2"/>
        <v>1797</v>
      </c>
      <c r="G22" s="215">
        <v>1790</v>
      </c>
      <c r="H22" s="215">
        <v>2</v>
      </c>
      <c r="I22" s="215">
        <v>5</v>
      </c>
      <c r="J22" s="215">
        <v>1</v>
      </c>
      <c r="K22" s="215">
        <v>1796</v>
      </c>
      <c r="L22" s="212">
        <f t="shared" si="3"/>
        <v>531</v>
      </c>
      <c r="M22" s="215">
        <v>531</v>
      </c>
      <c r="N22" s="342">
        <v>0</v>
      </c>
      <c r="O22" s="342">
        <v>0</v>
      </c>
      <c r="P22" s="342">
        <v>0</v>
      </c>
      <c r="Q22" s="215">
        <v>531</v>
      </c>
    </row>
    <row r="23" spans="1:17" ht="15.75">
      <c r="A23" s="118">
        <v>13</v>
      </c>
      <c r="B23" s="119" t="s">
        <v>179</v>
      </c>
      <c r="C23" s="212">
        <f t="shared" si="1"/>
        <v>7384</v>
      </c>
      <c r="D23" s="215">
        <v>7354</v>
      </c>
      <c r="E23" s="215">
        <v>30</v>
      </c>
      <c r="F23" s="212">
        <f t="shared" si="2"/>
        <v>7384</v>
      </c>
      <c r="G23" s="215">
        <v>7359</v>
      </c>
      <c r="H23" s="215">
        <v>25</v>
      </c>
      <c r="I23" s="342">
        <v>0</v>
      </c>
      <c r="J23" s="215">
        <v>8</v>
      </c>
      <c r="K23" s="215">
        <v>7376</v>
      </c>
      <c r="L23" s="212">
        <f t="shared" si="3"/>
        <v>960</v>
      </c>
      <c r="M23" s="215">
        <v>955</v>
      </c>
      <c r="N23" s="215">
        <v>5</v>
      </c>
      <c r="O23" s="342">
        <v>0</v>
      </c>
      <c r="P23" s="215">
        <v>4</v>
      </c>
      <c r="Q23" s="215">
        <v>956</v>
      </c>
    </row>
    <row r="24" spans="1:19" ht="15.75">
      <c r="A24" s="118">
        <v>14</v>
      </c>
      <c r="B24" s="119" t="s">
        <v>180</v>
      </c>
      <c r="C24" s="212">
        <f t="shared" si="1"/>
        <v>1279</v>
      </c>
      <c r="D24" s="215">
        <v>1239</v>
      </c>
      <c r="E24" s="215">
        <v>40</v>
      </c>
      <c r="F24" s="212">
        <f t="shared" si="2"/>
        <v>1303</v>
      </c>
      <c r="G24" s="215">
        <v>1263</v>
      </c>
      <c r="H24" s="215">
        <v>40</v>
      </c>
      <c r="I24" s="342">
        <v>0</v>
      </c>
      <c r="J24" s="342">
        <v>0</v>
      </c>
      <c r="K24" s="215">
        <v>1303</v>
      </c>
      <c r="L24" s="212">
        <f t="shared" si="3"/>
        <v>3</v>
      </c>
      <c r="M24" s="215">
        <v>3</v>
      </c>
      <c r="N24" s="342">
        <v>0</v>
      </c>
      <c r="O24" s="342">
        <v>0</v>
      </c>
      <c r="P24" s="342">
        <v>0</v>
      </c>
      <c r="Q24" s="215">
        <v>3</v>
      </c>
      <c r="S24" s="281"/>
    </row>
    <row r="25" spans="1:19" ht="15.75">
      <c r="A25" s="118">
        <v>15</v>
      </c>
      <c r="B25" s="119" t="s">
        <v>181</v>
      </c>
      <c r="C25" s="212">
        <f t="shared" si="1"/>
        <v>2383</v>
      </c>
      <c r="D25" s="215">
        <v>2383</v>
      </c>
      <c r="E25" s="342">
        <v>0</v>
      </c>
      <c r="F25" s="212">
        <f t="shared" si="2"/>
        <v>3513</v>
      </c>
      <c r="G25" s="215">
        <v>3396</v>
      </c>
      <c r="H25" s="215">
        <v>117</v>
      </c>
      <c r="I25" s="342">
        <v>0</v>
      </c>
      <c r="J25" s="215">
        <v>8</v>
      </c>
      <c r="K25" s="215">
        <v>3505</v>
      </c>
      <c r="L25" s="212">
        <f t="shared" si="3"/>
        <v>1457</v>
      </c>
      <c r="M25" s="215">
        <v>1452</v>
      </c>
      <c r="N25" s="215">
        <v>5</v>
      </c>
      <c r="O25" s="342">
        <v>0</v>
      </c>
      <c r="P25" s="215">
        <v>31</v>
      </c>
      <c r="Q25" s="215">
        <v>1426</v>
      </c>
      <c r="S25" s="281"/>
    </row>
    <row r="26" spans="1:19" ht="15.75">
      <c r="A26" s="118">
        <v>16</v>
      </c>
      <c r="B26" s="119" t="s">
        <v>182</v>
      </c>
      <c r="C26" s="212">
        <f t="shared" si="1"/>
        <v>2821</v>
      </c>
      <c r="D26" s="215">
        <v>2821</v>
      </c>
      <c r="E26" s="342">
        <v>0</v>
      </c>
      <c r="F26" s="212">
        <f t="shared" si="2"/>
        <v>4302</v>
      </c>
      <c r="G26" s="215">
        <v>4301</v>
      </c>
      <c r="H26" s="215">
        <v>1</v>
      </c>
      <c r="I26" s="342">
        <v>0</v>
      </c>
      <c r="J26" s="215">
        <v>5</v>
      </c>
      <c r="K26" s="215">
        <v>4297</v>
      </c>
      <c r="L26" s="212">
        <f t="shared" si="3"/>
        <v>453</v>
      </c>
      <c r="M26" s="215">
        <v>453</v>
      </c>
      <c r="N26" s="342">
        <v>0</v>
      </c>
      <c r="O26" s="342">
        <v>0</v>
      </c>
      <c r="P26" s="215">
        <v>6</v>
      </c>
      <c r="Q26" s="215">
        <v>447</v>
      </c>
      <c r="S26" s="281"/>
    </row>
    <row r="27" spans="1:19" ht="15.75">
      <c r="A27" s="118">
        <v>17</v>
      </c>
      <c r="B27" s="119" t="s">
        <v>183</v>
      </c>
      <c r="C27" s="212">
        <f aca="true" t="shared" si="4" ref="C27:C73">D27+E27</f>
        <v>1205</v>
      </c>
      <c r="D27" s="215">
        <v>1205</v>
      </c>
      <c r="E27" s="342">
        <v>0</v>
      </c>
      <c r="F27" s="212">
        <f t="shared" si="2"/>
        <v>944</v>
      </c>
      <c r="G27" s="215">
        <v>825</v>
      </c>
      <c r="H27" s="215">
        <v>119</v>
      </c>
      <c r="I27" s="342">
        <v>0</v>
      </c>
      <c r="J27" s="342">
        <v>0</v>
      </c>
      <c r="K27" s="215">
        <v>944</v>
      </c>
      <c r="L27" s="212">
        <f t="shared" si="3"/>
        <v>93</v>
      </c>
      <c r="M27" s="215">
        <v>93</v>
      </c>
      <c r="N27" s="342">
        <v>0</v>
      </c>
      <c r="O27" s="342">
        <v>0</v>
      </c>
      <c r="P27" s="215">
        <v>1</v>
      </c>
      <c r="Q27" s="215">
        <v>92</v>
      </c>
      <c r="S27" s="281"/>
    </row>
    <row r="28" spans="1:19" ht="15.75">
      <c r="A28" s="118">
        <v>18</v>
      </c>
      <c r="B28" s="119" t="s">
        <v>184</v>
      </c>
      <c r="C28" s="212">
        <f t="shared" si="4"/>
        <v>395</v>
      </c>
      <c r="D28" s="215">
        <v>380</v>
      </c>
      <c r="E28" s="215">
        <v>15</v>
      </c>
      <c r="F28" s="212">
        <f t="shared" si="2"/>
        <v>375</v>
      </c>
      <c r="G28" s="215">
        <v>360</v>
      </c>
      <c r="H28" s="215">
        <v>15</v>
      </c>
      <c r="I28" s="342">
        <v>0</v>
      </c>
      <c r="J28" s="215">
        <v>1</v>
      </c>
      <c r="K28" s="215">
        <v>359</v>
      </c>
      <c r="L28" s="212">
        <f t="shared" si="3"/>
        <v>5</v>
      </c>
      <c r="M28" s="215">
        <v>5</v>
      </c>
      <c r="N28" s="342">
        <v>0</v>
      </c>
      <c r="O28" s="342">
        <v>0</v>
      </c>
      <c r="P28" s="342">
        <v>0</v>
      </c>
      <c r="Q28" s="215">
        <v>5</v>
      </c>
      <c r="S28" s="281"/>
    </row>
    <row r="29" spans="1:19" ht="15.75">
      <c r="A29" s="118">
        <v>19</v>
      </c>
      <c r="B29" s="120" t="s">
        <v>202</v>
      </c>
      <c r="C29" s="212">
        <f t="shared" si="4"/>
        <v>685</v>
      </c>
      <c r="D29" s="215">
        <v>685</v>
      </c>
      <c r="E29" s="342">
        <v>0</v>
      </c>
      <c r="F29" s="212">
        <f t="shared" si="2"/>
        <v>5392</v>
      </c>
      <c r="G29" s="215">
        <v>4794</v>
      </c>
      <c r="H29" s="215">
        <v>598</v>
      </c>
      <c r="I29" s="266"/>
      <c r="J29" s="215">
        <v>45</v>
      </c>
      <c r="K29" s="215">
        <v>5347</v>
      </c>
      <c r="L29" s="212">
        <f t="shared" si="3"/>
        <v>4503</v>
      </c>
      <c r="M29" s="215">
        <v>4498</v>
      </c>
      <c r="N29" s="215">
        <v>5</v>
      </c>
      <c r="O29" s="215"/>
      <c r="P29" s="215">
        <v>31</v>
      </c>
      <c r="Q29" s="215">
        <v>4472</v>
      </c>
      <c r="S29" s="281"/>
    </row>
    <row r="30" spans="1:17" ht="15.75">
      <c r="A30" s="118">
        <v>20</v>
      </c>
      <c r="B30" s="120" t="s">
        <v>203</v>
      </c>
      <c r="C30" s="212">
        <f t="shared" si="4"/>
        <v>1624</v>
      </c>
      <c r="D30" s="215">
        <v>1624</v>
      </c>
      <c r="E30" s="342">
        <v>0</v>
      </c>
      <c r="F30" s="212">
        <f t="shared" si="2"/>
        <v>1115</v>
      </c>
      <c r="G30" s="215">
        <v>1109</v>
      </c>
      <c r="H30" s="215">
        <v>6</v>
      </c>
      <c r="I30" s="342">
        <v>0</v>
      </c>
      <c r="J30" s="215">
        <v>1</v>
      </c>
      <c r="K30" s="215">
        <v>1114</v>
      </c>
      <c r="L30" s="212">
        <f t="shared" si="3"/>
        <v>768</v>
      </c>
      <c r="M30" s="215">
        <v>765</v>
      </c>
      <c r="N30" s="215">
        <v>3</v>
      </c>
      <c r="O30" s="342">
        <v>0</v>
      </c>
      <c r="P30" s="215">
        <v>2</v>
      </c>
      <c r="Q30" s="215">
        <v>766</v>
      </c>
    </row>
    <row r="31" spans="1:17" ht="15.75">
      <c r="A31" s="118">
        <v>21</v>
      </c>
      <c r="B31" s="120" t="s">
        <v>204</v>
      </c>
      <c r="C31" s="212">
        <f t="shared" si="4"/>
        <v>1189</v>
      </c>
      <c r="D31" s="215">
        <v>1189</v>
      </c>
      <c r="E31" s="342">
        <v>0</v>
      </c>
      <c r="F31" s="212">
        <f t="shared" si="2"/>
        <v>745</v>
      </c>
      <c r="G31" s="215">
        <v>742</v>
      </c>
      <c r="H31" s="215">
        <v>3</v>
      </c>
      <c r="I31" s="342">
        <v>0</v>
      </c>
      <c r="J31" s="342">
        <v>0</v>
      </c>
      <c r="K31" s="215">
        <v>745</v>
      </c>
      <c r="L31" s="212">
        <f t="shared" si="3"/>
        <v>430</v>
      </c>
      <c r="M31" s="215">
        <v>430</v>
      </c>
      <c r="N31" s="342">
        <v>0</v>
      </c>
      <c r="O31" s="342">
        <v>0</v>
      </c>
      <c r="P31" s="342">
        <v>0</v>
      </c>
      <c r="Q31" s="215">
        <v>430</v>
      </c>
    </row>
    <row r="32" spans="1:17" ht="15.75">
      <c r="A32" s="118">
        <v>22</v>
      </c>
      <c r="B32" s="120" t="s">
        <v>205</v>
      </c>
      <c r="C32" s="212">
        <f t="shared" si="4"/>
        <v>273</v>
      </c>
      <c r="D32" s="215">
        <v>273</v>
      </c>
      <c r="E32" s="342">
        <v>0</v>
      </c>
      <c r="F32" s="212">
        <f t="shared" si="2"/>
        <v>273</v>
      </c>
      <c r="G32" s="215">
        <v>273</v>
      </c>
      <c r="H32" s="342">
        <v>0</v>
      </c>
      <c r="I32" s="342">
        <v>0</v>
      </c>
      <c r="J32" s="215">
        <v>2</v>
      </c>
      <c r="K32" s="215">
        <v>271</v>
      </c>
      <c r="L32" s="212">
        <f t="shared" si="3"/>
        <v>273</v>
      </c>
      <c r="M32" s="215">
        <v>273</v>
      </c>
      <c r="N32" s="342">
        <v>0</v>
      </c>
      <c r="O32" s="342">
        <v>0</v>
      </c>
      <c r="P32" s="215">
        <v>2</v>
      </c>
      <c r="Q32" s="215">
        <v>271</v>
      </c>
    </row>
    <row r="33" spans="1:17" ht="15.75">
      <c r="A33" s="118">
        <v>23</v>
      </c>
      <c r="B33" s="120" t="s">
        <v>206</v>
      </c>
      <c r="C33" s="212">
        <f t="shared" si="4"/>
        <v>2664</v>
      </c>
      <c r="D33" s="215">
        <v>2664</v>
      </c>
      <c r="E33" s="342">
        <v>0</v>
      </c>
      <c r="F33" s="212">
        <f t="shared" si="2"/>
        <v>1703</v>
      </c>
      <c r="G33" s="215">
        <v>1690</v>
      </c>
      <c r="H33" s="215">
        <v>13</v>
      </c>
      <c r="I33" s="342">
        <v>0</v>
      </c>
      <c r="J33" s="342">
        <v>0</v>
      </c>
      <c r="K33" s="215">
        <v>1703</v>
      </c>
      <c r="L33" s="212">
        <f t="shared" si="3"/>
        <v>23</v>
      </c>
      <c r="M33" s="215">
        <v>23</v>
      </c>
      <c r="N33" s="342">
        <v>0</v>
      </c>
      <c r="O33" s="342">
        <v>0</v>
      </c>
      <c r="P33" s="342">
        <v>0</v>
      </c>
      <c r="Q33" s="215">
        <v>23</v>
      </c>
    </row>
    <row r="34" spans="1:17" ht="15.75">
      <c r="A34" s="118">
        <v>24</v>
      </c>
      <c r="B34" s="120" t="s">
        <v>207</v>
      </c>
      <c r="C34" s="212">
        <f t="shared" si="4"/>
        <v>3248</v>
      </c>
      <c r="D34" s="215">
        <v>3247</v>
      </c>
      <c r="E34" s="215">
        <v>1</v>
      </c>
      <c r="F34" s="295">
        <v>29948</v>
      </c>
      <c r="G34" s="295">
        <v>27309</v>
      </c>
      <c r="H34" s="295">
        <v>764</v>
      </c>
      <c r="I34" s="365">
        <v>0</v>
      </c>
      <c r="J34" s="215">
        <v>153</v>
      </c>
      <c r="K34" s="215">
        <v>27920</v>
      </c>
      <c r="L34" s="212">
        <f t="shared" si="3"/>
        <v>1807</v>
      </c>
      <c r="M34" s="215">
        <v>1745</v>
      </c>
      <c r="N34" s="215">
        <v>62</v>
      </c>
      <c r="O34" s="342">
        <v>0</v>
      </c>
      <c r="P34" s="215">
        <v>9</v>
      </c>
      <c r="Q34" s="215">
        <v>1798</v>
      </c>
    </row>
    <row r="35" spans="1:17" ht="15.75">
      <c r="A35" s="118">
        <v>25</v>
      </c>
      <c r="B35" s="120" t="s">
        <v>208</v>
      </c>
      <c r="C35" s="212">
        <f t="shared" si="4"/>
        <v>1365</v>
      </c>
      <c r="D35" s="215">
        <v>1365</v>
      </c>
      <c r="E35" s="342">
        <v>0</v>
      </c>
      <c r="F35" s="212">
        <f aca="true" t="shared" si="5" ref="F35:F67">G35+H35+I35</f>
        <v>7231</v>
      </c>
      <c r="G35" s="215">
        <v>7130</v>
      </c>
      <c r="H35" s="215">
        <v>101</v>
      </c>
      <c r="I35" s="342">
        <v>0</v>
      </c>
      <c r="J35" s="342">
        <v>0</v>
      </c>
      <c r="K35" s="215">
        <v>7231</v>
      </c>
      <c r="L35" s="212">
        <f t="shared" si="3"/>
        <v>29</v>
      </c>
      <c r="M35" s="215">
        <v>29</v>
      </c>
      <c r="N35" s="342">
        <v>0</v>
      </c>
      <c r="O35" s="342">
        <v>0</v>
      </c>
      <c r="P35" s="342">
        <v>0</v>
      </c>
      <c r="Q35" s="215">
        <v>29</v>
      </c>
    </row>
    <row r="36" spans="1:17" ht="15.75">
      <c r="A36" s="118">
        <v>26</v>
      </c>
      <c r="B36" s="120" t="s">
        <v>209</v>
      </c>
      <c r="C36" s="212">
        <f t="shared" si="4"/>
        <v>1600</v>
      </c>
      <c r="D36" s="215">
        <v>1600</v>
      </c>
      <c r="E36" s="342">
        <v>0</v>
      </c>
      <c r="F36" s="212">
        <f t="shared" si="5"/>
        <v>5669</v>
      </c>
      <c r="G36" s="215">
        <v>5234</v>
      </c>
      <c r="H36" s="215">
        <v>435</v>
      </c>
      <c r="I36" s="342">
        <v>0</v>
      </c>
      <c r="J36" s="215">
        <v>22</v>
      </c>
      <c r="K36" s="215">
        <v>5647</v>
      </c>
      <c r="L36" s="212">
        <f t="shared" si="3"/>
        <v>101</v>
      </c>
      <c r="M36" s="215">
        <v>101</v>
      </c>
      <c r="N36" s="342">
        <v>0</v>
      </c>
      <c r="O36" s="342">
        <v>0</v>
      </c>
      <c r="P36" s="215">
        <v>2</v>
      </c>
      <c r="Q36" s="215">
        <v>99</v>
      </c>
    </row>
    <row r="37" spans="1:17" ht="15.75">
      <c r="A37" s="118">
        <v>27</v>
      </c>
      <c r="B37" s="120" t="s">
        <v>210</v>
      </c>
      <c r="C37" s="212">
        <f t="shared" si="4"/>
        <v>3825</v>
      </c>
      <c r="D37" s="215">
        <v>3824</v>
      </c>
      <c r="E37" s="215">
        <v>1</v>
      </c>
      <c r="F37" s="212">
        <f t="shared" si="5"/>
        <v>7775</v>
      </c>
      <c r="G37" s="215">
        <v>7619</v>
      </c>
      <c r="H37" s="215">
        <v>156</v>
      </c>
      <c r="I37" s="342">
        <v>0</v>
      </c>
      <c r="J37" s="215">
        <v>1</v>
      </c>
      <c r="K37" s="215">
        <v>7774</v>
      </c>
      <c r="L37" s="212">
        <f t="shared" si="3"/>
        <v>671</v>
      </c>
      <c r="M37" s="215">
        <v>671</v>
      </c>
      <c r="N37" s="342">
        <v>0</v>
      </c>
      <c r="O37" s="342">
        <v>0</v>
      </c>
      <c r="P37" s="215">
        <v>10</v>
      </c>
      <c r="Q37" s="215">
        <v>661</v>
      </c>
    </row>
    <row r="38" spans="1:17" ht="15.75">
      <c r="A38" s="118">
        <v>28</v>
      </c>
      <c r="B38" s="120" t="s">
        <v>211</v>
      </c>
      <c r="C38" s="212">
        <f t="shared" si="4"/>
        <v>301</v>
      </c>
      <c r="D38" s="215">
        <v>301</v>
      </c>
      <c r="E38" s="342">
        <v>0</v>
      </c>
      <c r="F38" s="212">
        <f t="shared" si="5"/>
        <v>2865</v>
      </c>
      <c r="G38" s="215">
        <v>2861</v>
      </c>
      <c r="H38" s="215">
        <v>4</v>
      </c>
      <c r="I38" s="342">
        <v>0</v>
      </c>
      <c r="J38" s="215">
        <v>2</v>
      </c>
      <c r="K38" s="215">
        <v>2863</v>
      </c>
      <c r="L38" s="212">
        <f t="shared" si="3"/>
        <v>302</v>
      </c>
      <c r="M38" s="215">
        <v>302</v>
      </c>
      <c r="N38" s="342">
        <v>0</v>
      </c>
      <c r="O38" s="342">
        <v>0</v>
      </c>
      <c r="P38" s="215">
        <v>1</v>
      </c>
      <c r="Q38" s="215">
        <v>301</v>
      </c>
    </row>
    <row r="39" spans="1:17" ht="15.75">
      <c r="A39" s="118">
        <v>29</v>
      </c>
      <c r="B39" s="120" t="s">
        <v>212</v>
      </c>
      <c r="C39" s="212">
        <f t="shared" si="4"/>
        <v>415</v>
      </c>
      <c r="D39" s="215">
        <v>415</v>
      </c>
      <c r="E39" s="342">
        <v>0</v>
      </c>
      <c r="F39" s="212">
        <f t="shared" si="5"/>
        <v>1787</v>
      </c>
      <c r="G39" s="215">
        <v>1779</v>
      </c>
      <c r="H39" s="215">
        <v>8</v>
      </c>
      <c r="I39" s="342">
        <v>0</v>
      </c>
      <c r="J39" s="215">
        <v>5</v>
      </c>
      <c r="K39" s="215">
        <v>1782</v>
      </c>
      <c r="L39" s="212">
        <f t="shared" si="3"/>
        <v>71</v>
      </c>
      <c r="M39" s="215">
        <v>71</v>
      </c>
      <c r="N39" s="342">
        <v>0</v>
      </c>
      <c r="O39" s="342">
        <v>0</v>
      </c>
      <c r="P39" s="342">
        <v>0</v>
      </c>
      <c r="Q39" s="215">
        <v>71</v>
      </c>
    </row>
    <row r="40" spans="1:17" ht="15.75">
      <c r="A40" s="118">
        <v>30</v>
      </c>
      <c r="B40" s="120" t="s">
        <v>213</v>
      </c>
      <c r="C40" s="335"/>
      <c r="D40" s="335"/>
      <c r="E40" s="335"/>
      <c r="F40" s="212">
        <f t="shared" si="5"/>
        <v>4565</v>
      </c>
      <c r="G40" s="185">
        <v>4527</v>
      </c>
      <c r="H40" s="185">
        <v>38</v>
      </c>
      <c r="I40" s="342">
        <v>0</v>
      </c>
      <c r="J40" s="185">
        <v>2</v>
      </c>
      <c r="K40" s="215">
        <v>4563</v>
      </c>
      <c r="L40" s="212">
        <f t="shared" si="3"/>
        <v>35</v>
      </c>
      <c r="M40" s="215">
        <v>35</v>
      </c>
      <c r="N40" s="342">
        <v>0</v>
      </c>
      <c r="O40" s="342">
        <v>0</v>
      </c>
      <c r="P40" s="342">
        <v>0</v>
      </c>
      <c r="Q40" s="215">
        <v>35</v>
      </c>
    </row>
    <row r="41" spans="1:17" ht="15.75">
      <c r="A41" s="118">
        <v>31</v>
      </c>
      <c r="B41" s="120" t="s">
        <v>214</v>
      </c>
      <c r="C41" s="212">
        <f t="shared" si="4"/>
        <v>2057</v>
      </c>
      <c r="D41" s="215">
        <v>2057</v>
      </c>
      <c r="E41" s="342">
        <v>0</v>
      </c>
      <c r="F41" s="212">
        <f t="shared" si="5"/>
        <v>3784</v>
      </c>
      <c r="G41" s="215">
        <v>3420</v>
      </c>
      <c r="H41" s="215">
        <v>364</v>
      </c>
      <c r="I41" s="342">
        <v>0</v>
      </c>
      <c r="J41" s="215">
        <v>8</v>
      </c>
      <c r="K41" s="215">
        <v>3776</v>
      </c>
      <c r="L41" s="212">
        <f t="shared" si="3"/>
        <v>4168</v>
      </c>
      <c r="M41" s="215">
        <v>4168</v>
      </c>
      <c r="N41" s="342">
        <v>0</v>
      </c>
      <c r="O41" s="342">
        <v>0</v>
      </c>
      <c r="P41" s="215">
        <v>22</v>
      </c>
      <c r="Q41" s="215">
        <v>4074</v>
      </c>
    </row>
    <row r="42" spans="1:17" ht="15.75">
      <c r="A42" s="118">
        <v>32</v>
      </c>
      <c r="B42" s="120" t="s">
        <v>215</v>
      </c>
      <c r="C42" s="212">
        <f t="shared" si="4"/>
        <v>1366</v>
      </c>
      <c r="D42" s="215">
        <v>1365</v>
      </c>
      <c r="E42" s="215">
        <v>1</v>
      </c>
      <c r="F42" s="212">
        <f t="shared" si="5"/>
        <v>2933</v>
      </c>
      <c r="G42" s="215">
        <v>2913</v>
      </c>
      <c r="H42" s="215">
        <v>20</v>
      </c>
      <c r="I42" s="342">
        <v>0</v>
      </c>
      <c r="J42" s="342">
        <v>0</v>
      </c>
      <c r="K42" s="215">
        <v>2933</v>
      </c>
      <c r="L42" s="212">
        <f t="shared" si="3"/>
        <v>1157</v>
      </c>
      <c r="M42" s="215">
        <v>1157</v>
      </c>
      <c r="N42" s="342">
        <v>0</v>
      </c>
      <c r="O42" s="342">
        <v>0</v>
      </c>
      <c r="P42" s="215">
        <v>9</v>
      </c>
      <c r="Q42" s="215">
        <v>1148</v>
      </c>
    </row>
    <row r="43" spans="1:17" ht="15.75">
      <c r="A43" s="118">
        <v>33</v>
      </c>
      <c r="B43" s="120" t="s">
        <v>216</v>
      </c>
      <c r="C43" s="212">
        <f t="shared" si="4"/>
        <v>501</v>
      </c>
      <c r="D43" s="215">
        <v>501</v>
      </c>
      <c r="E43" s="342">
        <v>0</v>
      </c>
      <c r="F43" s="212">
        <f t="shared" si="5"/>
        <v>621</v>
      </c>
      <c r="G43" s="215">
        <v>621</v>
      </c>
      <c r="H43" s="342">
        <v>0</v>
      </c>
      <c r="I43" s="342">
        <v>0</v>
      </c>
      <c r="J43" s="342">
        <v>0</v>
      </c>
      <c r="K43" s="215">
        <v>621</v>
      </c>
      <c r="L43" s="212">
        <f t="shared" si="3"/>
        <v>47</v>
      </c>
      <c r="M43" s="215">
        <v>47</v>
      </c>
      <c r="N43" s="342">
        <v>0</v>
      </c>
      <c r="O43" s="342">
        <v>0</v>
      </c>
      <c r="P43" s="342">
        <v>0</v>
      </c>
      <c r="Q43" s="215">
        <v>47</v>
      </c>
    </row>
    <row r="44" spans="1:17" ht="15.75">
      <c r="A44" s="118">
        <v>34</v>
      </c>
      <c r="B44" s="120" t="s">
        <v>217</v>
      </c>
      <c r="C44" s="212">
        <f t="shared" si="4"/>
        <v>168</v>
      </c>
      <c r="D44" s="215">
        <v>168</v>
      </c>
      <c r="E44" s="342">
        <v>0</v>
      </c>
      <c r="F44" s="212">
        <f t="shared" si="5"/>
        <v>974</v>
      </c>
      <c r="G44" s="215">
        <v>974</v>
      </c>
      <c r="H44" s="342">
        <v>0</v>
      </c>
      <c r="I44" s="342">
        <v>0</v>
      </c>
      <c r="J44" s="342">
        <v>0</v>
      </c>
      <c r="K44" s="342">
        <v>0</v>
      </c>
      <c r="L44" s="212">
        <f t="shared" si="3"/>
        <v>1</v>
      </c>
      <c r="M44" s="215">
        <v>1</v>
      </c>
      <c r="N44" s="342">
        <v>0</v>
      </c>
      <c r="O44" s="342">
        <v>0</v>
      </c>
      <c r="P44" s="342">
        <v>0</v>
      </c>
      <c r="Q44" s="342">
        <v>0</v>
      </c>
    </row>
    <row r="45" spans="1:17" ht="15.75">
      <c r="A45" s="118">
        <v>35</v>
      </c>
      <c r="B45" s="120" t="s">
        <v>218</v>
      </c>
      <c r="C45" s="212">
        <f t="shared" si="4"/>
        <v>756</v>
      </c>
      <c r="D45" s="215">
        <v>756</v>
      </c>
      <c r="E45" s="342">
        <v>0</v>
      </c>
      <c r="F45" s="212">
        <f t="shared" si="5"/>
        <v>2804</v>
      </c>
      <c r="G45" s="215">
        <v>2783</v>
      </c>
      <c r="H45" s="215">
        <v>21</v>
      </c>
      <c r="I45" s="342">
        <v>0</v>
      </c>
      <c r="J45" s="215">
        <v>2</v>
      </c>
      <c r="K45" s="215">
        <v>2802</v>
      </c>
      <c r="L45" s="212">
        <f t="shared" si="3"/>
        <v>1077</v>
      </c>
      <c r="M45" s="215">
        <v>1077</v>
      </c>
      <c r="N45" s="342">
        <v>0</v>
      </c>
      <c r="O45" s="342">
        <v>0</v>
      </c>
      <c r="P45" s="215">
        <v>4</v>
      </c>
      <c r="Q45" s="215">
        <v>1073</v>
      </c>
    </row>
    <row r="46" spans="1:17" ht="15.75">
      <c r="A46" s="118">
        <v>36</v>
      </c>
      <c r="B46" s="121" t="s">
        <v>219</v>
      </c>
      <c r="C46" s="212">
        <f t="shared" si="4"/>
        <v>212</v>
      </c>
      <c r="D46" s="215">
        <v>212</v>
      </c>
      <c r="E46" s="342">
        <v>0</v>
      </c>
      <c r="F46" s="212">
        <f t="shared" si="5"/>
        <v>2699</v>
      </c>
      <c r="G46" s="215">
        <v>2670</v>
      </c>
      <c r="H46" s="215">
        <v>29</v>
      </c>
      <c r="I46" s="342">
        <v>0</v>
      </c>
      <c r="J46" s="215">
        <v>2</v>
      </c>
      <c r="K46" s="215">
        <v>2697</v>
      </c>
      <c r="L46" s="212">
        <f t="shared" si="3"/>
        <v>16</v>
      </c>
      <c r="M46" s="215">
        <v>16</v>
      </c>
      <c r="N46" s="342">
        <v>0</v>
      </c>
      <c r="O46" s="342">
        <v>0</v>
      </c>
      <c r="P46" s="215">
        <v>1</v>
      </c>
      <c r="Q46" s="215">
        <v>15</v>
      </c>
    </row>
    <row r="47" spans="1:17" ht="15.75">
      <c r="A47" s="118">
        <v>37</v>
      </c>
      <c r="B47" s="121" t="s">
        <v>220</v>
      </c>
      <c r="C47" s="212">
        <f t="shared" si="4"/>
        <v>523</v>
      </c>
      <c r="D47" s="215">
        <v>370</v>
      </c>
      <c r="E47" s="215">
        <v>153</v>
      </c>
      <c r="F47" s="212">
        <f t="shared" si="5"/>
        <v>712</v>
      </c>
      <c r="G47" s="215">
        <v>642</v>
      </c>
      <c r="H47" s="215">
        <v>70</v>
      </c>
      <c r="I47" s="342">
        <v>0</v>
      </c>
      <c r="J47" s="342">
        <v>0</v>
      </c>
      <c r="K47" s="215">
        <v>712</v>
      </c>
      <c r="L47" s="212">
        <f t="shared" si="3"/>
        <v>9</v>
      </c>
      <c r="M47" s="215">
        <v>9</v>
      </c>
      <c r="N47" s="342">
        <v>0</v>
      </c>
      <c r="O47" s="342">
        <v>0</v>
      </c>
      <c r="P47" s="215">
        <v>9</v>
      </c>
      <c r="Q47" s="342">
        <v>0</v>
      </c>
    </row>
    <row r="48" spans="1:17" ht="15.75">
      <c r="A48" s="118">
        <v>38</v>
      </c>
      <c r="B48" s="121" t="s">
        <v>221</v>
      </c>
      <c r="C48" s="212">
        <f t="shared" si="4"/>
        <v>1526</v>
      </c>
      <c r="D48" s="215">
        <v>1526</v>
      </c>
      <c r="E48" s="342">
        <v>0</v>
      </c>
      <c r="F48" s="212">
        <f t="shared" si="5"/>
        <v>1439</v>
      </c>
      <c r="G48" s="215">
        <v>1349</v>
      </c>
      <c r="H48" s="215">
        <v>90</v>
      </c>
      <c r="I48" s="342">
        <v>0</v>
      </c>
      <c r="J48" s="215">
        <v>5</v>
      </c>
      <c r="K48" s="215">
        <v>1434</v>
      </c>
      <c r="L48" s="212">
        <f t="shared" si="3"/>
        <v>565</v>
      </c>
      <c r="M48" s="215">
        <v>565</v>
      </c>
      <c r="N48" s="342">
        <v>0</v>
      </c>
      <c r="O48" s="342">
        <v>0</v>
      </c>
      <c r="P48" s="215">
        <v>1</v>
      </c>
      <c r="Q48" s="215">
        <v>564</v>
      </c>
    </row>
    <row r="49" spans="1:17" ht="15.75">
      <c r="A49" s="118">
        <v>39</v>
      </c>
      <c r="B49" s="121" t="s">
        <v>222</v>
      </c>
      <c r="C49" s="212">
        <f t="shared" si="4"/>
        <v>676</v>
      </c>
      <c r="D49" s="215">
        <v>676</v>
      </c>
      <c r="E49" s="342">
        <v>0</v>
      </c>
      <c r="F49" s="212">
        <f t="shared" si="5"/>
        <v>2200</v>
      </c>
      <c r="G49" s="215">
        <v>2150</v>
      </c>
      <c r="H49" s="215">
        <v>50</v>
      </c>
      <c r="I49" s="342">
        <v>0</v>
      </c>
      <c r="J49" s="342">
        <v>0</v>
      </c>
      <c r="K49" s="215">
        <v>2200</v>
      </c>
      <c r="L49" s="212">
        <f t="shared" si="3"/>
        <v>56</v>
      </c>
      <c r="M49" s="215">
        <v>56</v>
      </c>
      <c r="N49" s="342">
        <v>0</v>
      </c>
      <c r="O49" s="342">
        <v>0</v>
      </c>
      <c r="P49" s="342">
        <v>0</v>
      </c>
      <c r="Q49" s="215">
        <v>56</v>
      </c>
    </row>
    <row r="50" spans="1:17" ht="15.75">
      <c r="A50" s="118">
        <v>40</v>
      </c>
      <c r="B50" s="121" t="s">
        <v>223</v>
      </c>
      <c r="C50" s="212">
        <f t="shared" si="4"/>
        <v>482</v>
      </c>
      <c r="D50" s="215">
        <v>482</v>
      </c>
      <c r="E50" s="342">
        <v>0</v>
      </c>
      <c r="F50" s="212">
        <f t="shared" si="5"/>
        <v>11686</v>
      </c>
      <c r="G50" s="215">
        <v>11684</v>
      </c>
      <c r="H50" s="215">
        <v>2</v>
      </c>
      <c r="I50" s="342">
        <v>0</v>
      </c>
      <c r="J50" s="215">
        <v>38</v>
      </c>
      <c r="K50" s="215">
        <v>11648</v>
      </c>
      <c r="L50" s="212">
        <f t="shared" si="3"/>
        <v>32</v>
      </c>
      <c r="M50" s="215">
        <v>32</v>
      </c>
      <c r="N50" s="342">
        <v>0</v>
      </c>
      <c r="O50" s="342">
        <v>0</v>
      </c>
      <c r="P50" s="342">
        <v>0</v>
      </c>
      <c r="Q50" s="215">
        <v>32</v>
      </c>
    </row>
    <row r="51" spans="1:17" ht="15.75">
      <c r="A51" s="118">
        <v>41</v>
      </c>
      <c r="B51" s="121" t="s">
        <v>224</v>
      </c>
      <c r="C51" s="212">
        <f t="shared" si="4"/>
        <v>50</v>
      </c>
      <c r="D51" s="215">
        <v>50</v>
      </c>
      <c r="E51" s="342">
        <v>0</v>
      </c>
      <c r="F51" s="212">
        <f t="shared" si="5"/>
        <v>2696</v>
      </c>
      <c r="G51" s="215">
        <v>2611</v>
      </c>
      <c r="H51" s="215">
        <v>85</v>
      </c>
      <c r="I51" s="342">
        <v>0</v>
      </c>
      <c r="J51" s="215">
        <v>1</v>
      </c>
      <c r="K51" s="215">
        <v>2695</v>
      </c>
      <c r="L51" s="212">
        <f t="shared" si="3"/>
        <v>30</v>
      </c>
      <c r="M51" s="215">
        <v>30</v>
      </c>
      <c r="N51" s="342">
        <v>0</v>
      </c>
      <c r="O51" s="342">
        <v>0</v>
      </c>
      <c r="P51" s="342">
        <v>0</v>
      </c>
      <c r="Q51" s="215">
        <v>30</v>
      </c>
    </row>
    <row r="52" spans="1:17" ht="15.75">
      <c r="A52" s="118">
        <v>42</v>
      </c>
      <c r="B52" s="121" t="s">
        <v>225</v>
      </c>
      <c r="C52" s="212">
        <f t="shared" si="4"/>
        <v>440</v>
      </c>
      <c r="D52" s="215">
        <v>440</v>
      </c>
      <c r="E52" s="342">
        <v>0</v>
      </c>
      <c r="F52" s="212">
        <f t="shared" si="5"/>
        <v>920</v>
      </c>
      <c r="G52" s="215">
        <v>912</v>
      </c>
      <c r="H52" s="215">
        <v>8</v>
      </c>
      <c r="I52" s="342">
        <v>0</v>
      </c>
      <c r="J52" s="215">
        <v>1</v>
      </c>
      <c r="K52" s="215">
        <v>919</v>
      </c>
      <c r="L52" s="212">
        <f t="shared" si="3"/>
        <v>411</v>
      </c>
      <c r="M52" s="215">
        <v>411</v>
      </c>
      <c r="N52" s="342">
        <v>0</v>
      </c>
      <c r="O52" s="342">
        <v>0</v>
      </c>
      <c r="P52" s="215">
        <v>1</v>
      </c>
      <c r="Q52" s="215">
        <v>410</v>
      </c>
    </row>
    <row r="53" spans="1:17" ht="15.75">
      <c r="A53" s="118">
        <v>43</v>
      </c>
      <c r="B53" s="121" t="s">
        <v>226</v>
      </c>
      <c r="C53" s="212">
        <f t="shared" si="4"/>
        <v>1939</v>
      </c>
      <c r="D53" s="215">
        <v>1928</v>
      </c>
      <c r="E53" s="215">
        <v>11</v>
      </c>
      <c r="F53" s="212">
        <f t="shared" si="5"/>
        <v>1917</v>
      </c>
      <c r="G53" s="215">
        <v>1906</v>
      </c>
      <c r="H53" s="215">
        <v>11</v>
      </c>
      <c r="I53" s="342">
        <v>0</v>
      </c>
      <c r="J53" s="342">
        <v>0</v>
      </c>
      <c r="K53" s="215">
        <v>1917</v>
      </c>
      <c r="L53" s="212">
        <f t="shared" si="3"/>
        <v>22</v>
      </c>
      <c r="M53" s="215">
        <v>22</v>
      </c>
      <c r="N53" s="342">
        <v>0</v>
      </c>
      <c r="O53" s="342">
        <v>0</v>
      </c>
      <c r="P53" s="342">
        <v>0</v>
      </c>
      <c r="Q53" s="215">
        <v>22</v>
      </c>
    </row>
    <row r="54" spans="1:17" ht="15.75">
      <c r="A54" s="118">
        <v>44</v>
      </c>
      <c r="B54" s="121" t="s">
        <v>227</v>
      </c>
      <c r="C54" s="212">
        <f t="shared" si="4"/>
        <v>1662</v>
      </c>
      <c r="D54" s="215">
        <v>1662</v>
      </c>
      <c r="E54" s="342">
        <v>0</v>
      </c>
      <c r="F54" s="212">
        <f t="shared" si="5"/>
        <v>518</v>
      </c>
      <c r="G54" s="215">
        <v>509</v>
      </c>
      <c r="H54" s="215">
        <v>8</v>
      </c>
      <c r="I54" s="215">
        <v>1</v>
      </c>
      <c r="J54" s="342">
        <v>0</v>
      </c>
      <c r="K54" s="215">
        <v>518</v>
      </c>
      <c r="L54" s="212">
        <f t="shared" si="3"/>
        <v>478</v>
      </c>
      <c r="M54" s="215">
        <v>478</v>
      </c>
      <c r="N54" s="342">
        <v>0</v>
      </c>
      <c r="O54" s="342">
        <v>0</v>
      </c>
      <c r="P54" s="215">
        <v>5</v>
      </c>
      <c r="Q54" s="215">
        <v>473</v>
      </c>
    </row>
    <row r="55" spans="1:17" s="102" customFormat="1" ht="15.75">
      <c r="A55" s="118">
        <v>45</v>
      </c>
      <c r="B55" s="122" t="s">
        <v>233</v>
      </c>
      <c r="C55" s="212">
        <f t="shared" si="4"/>
        <v>2216</v>
      </c>
      <c r="D55" s="215">
        <v>2216</v>
      </c>
      <c r="E55" s="342">
        <v>0</v>
      </c>
      <c r="F55" s="212">
        <f t="shared" si="5"/>
        <v>3998</v>
      </c>
      <c r="G55" s="215">
        <v>3993</v>
      </c>
      <c r="H55" s="215">
        <v>5</v>
      </c>
      <c r="I55" s="342">
        <v>0</v>
      </c>
      <c r="J55" s="215">
        <v>2</v>
      </c>
      <c r="K55" s="215">
        <v>3996</v>
      </c>
      <c r="L55" s="212">
        <f t="shared" si="3"/>
        <v>165</v>
      </c>
      <c r="M55" s="215">
        <v>165</v>
      </c>
      <c r="N55" s="342">
        <v>0</v>
      </c>
      <c r="O55" s="342">
        <v>0</v>
      </c>
      <c r="P55" s="342">
        <v>0</v>
      </c>
      <c r="Q55" s="215">
        <v>165</v>
      </c>
    </row>
    <row r="56" spans="1:17" s="103" customFormat="1" ht="15.75">
      <c r="A56" s="118">
        <v>46</v>
      </c>
      <c r="B56" s="122" t="s">
        <v>234</v>
      </c>
      <c r="C56" s="212">
        <f t="shared" si="4"/>
        <v>275</v>
      </c>
      <c r="D56" s="215">
        <v>275</v>
      </c>
      <c r="E56" s="342">
        <v>0</v>
      </c>
      <c r="F56" s="212">
        <f t="shared" si="5"/>
        <v>2065</v>
      </c>
      <c r="G56" s="215">
        <v>1877</v>
      </c>
      <c r="H56" s="215">
        <v>188</v>
      </c>
      <c r="I56" s="342">
        <v>0</v>
      </c>
      <c r="J56" s="215">
        <v>1</v>
      </c>
      <c r="K56" s="215">
        <v>2064</v>
      </c>
      <c r="L56" s="212">
        <f t="shared" si="3"/>
        <v>504</v>
      </c>
      <c r="M56" s="215">
        <v>503</v>
      </c>
      <c r="N56" s="215">
        <v>1</v>
      </c>
      <c r="O56" s="342">
        <v>0</v>
      </c>
      <c r="P56" s="215">
        <v>10</v>
      </c>
      <c r="Q56" s="215">
        <v>494</v>
      </c>
    </row>
    <row r="57" spans="1:17" s="103" customFormat="1" ht="15.75">
      <c r="A57" s="118">
        <v>47</v>
      </c>
      <c r="B57" s="122" t="s">
        <v>235</v>
      </c>
      <c r="C57" s="212">
        <f t="shared" si="4"/>
        <v>793</v>
      </c>
      <c r="D57" s="215">
        <v>793</v>
      </c>
      <c r="E57" s="342">
        <v>0</v>
      </c>
      <c r="F57" s="212">
        <f t="shared" si="5"/>
        <v>1292</v>
      </c>
      <c r="G57" s="215">
        <v>1291</v>
      </c>
      <c r="H57" s="215">
        <v>1</v>
      </c>
      <c r="I57" s="342">
        <v>0</v>
      </c>
      <c r="J57" s="342">
        <v>0</v>
      </c>
      <c r="K57" s="215">
        <v>1292</v>
      </c>
      <c r="L57" s="212">
        <f t="shared" si="3"/>
        <v>310</v>
      </c>
      <c r="M57" s="215">
        <v>310</v>
      </c>
      <c r="N57" s="342">
        <v>0</v>
      </c>
      <c r="O57" s="342">
        <v>0</v>
      </c>
      <c r="P57" s="342">
        <v>0</v>
      </c>
      <c r="Q57" s="215">
        <v>310</v>
      </c>
    </row>
    <row r="58" spans="1:17" s="103" customFormat="1" ht="15.75">
      <c r="A58" s="118">
        <v>48</v>
      </c>
      <c r="B58" s="122" t="s">
        <v>236</v>
      </c>
      <c r="C58" s="212">
        <f t="shared" si="4"/>
        <v>383</v>
      </c>
      <c r="D58" s="215">
        <v>383</v>
      </c>
      <c r="E58" s="342">
        <v>0</v>
      </c>
      <c r="F58" s="212">
        <f t="shared" si="5"/>
        <v>2702</v>
      </c>
      <c r="G58" s="215">
        <v>2582</v>
      </c>
      <c r="H58" s="215">
        <v>120</v>
      </c>
      <c r="I58" s="342">
        <v>0</v>
      </c>
      <c r="J58" s="215">
        <v>1</v>
      </c>
      <c r="K58" s="215">
        <v>2701</v>
      </c>
      <c r="L58" s="212">
        <f t="shared" si="3"/>
        <v>199</v>
      </c>
      <c r="M58" s="215">
        <v>199</v>
      </c>
      <c r="N58" s="342">
        <v>0</v>
      </c>
      <c r="O58" s="342">
        <v>0</v>
      </c>
      <c r="P58" s="215">
        <v>3</v>
      </c>
      <c r="Q58" s="215">
        <v>196</v>
      </c>
    </row>
    <row r="59" spans="1:17" s="103" customFormat="1" ht="15.75">
      <c r="A59" s="118">
        <v>49</v>
      </c>
      <c r="B59" s="122" t="s">
        <v>237</v>
      </c>
      <c r="C59" s="212">
        <f t="shared" si="4"/>
        <v>1741</v>
      </c>
      <c r="D59" s="215">
        <v>1741</v>
      </c>
      <c r="E59" s="342">
        <v>0</v>
      </c>
      <c r="F59" s="212">
        <f t="shared" si="5"/>
        <v>833</v>
      </c>
      <c r="G59" s="215">
        <v>830</v>
      </c>
      <c r="H59" s="215">
        <v>3</v>
      </c>
      <c r="I59" s="342">
        <v>0</v>
      </c>
      <c r="J59" s="342">
        <v>0</v>
      </c>
      <c r="K59" s="215">
        <v>833</v>
      </c>
      <c r="L59" s="212">
        <f t="shared" si="3"/>
        <v>97</v>
      </c>
      <c r="M59" s="215">
        <v>97</v>
      </c>
      <c r="N59" s="342">
        <v>0</v>
      </c>
      <c r="O59" s="342">
        <v>0</v>
      </c>
      <c r="P59" s="215">
        <v>2</v>
      </c>
      <c r="Q59" s="215">
        <v>95</v>
      </c>
    </row>
    <row r="60" spans="1:17" s="103" customFormat="1" ht="15.75">
      <c r="A60" s="118">
        <v>50</v>
      </c>
      <c r="B60" s="122" t="s">
        <v>238</v>
      </c>
      <c r="C60" s="212">
        <f t="shared" si="4"/>
        <v>575</v>
      </c>
      <c r="D60" s="215">
        <v>575</v>
      </c>
      <c r="E60" s="342">
        <v>0</v>
      </c>
      <c r="F60" s="212">
        <f t="shared" si="5"/>
        <v>2523</v>
      </c>
      <c r="G60" s="215">
        <v>2522</v>
      </c>
      <c r="H60" s="215">
        <v>1</v>
      </c>
      <c r="I60" s="342">
        <v>0</v>
      </c>
      <c r="J60" s="215">
        <v>1</v>
      </c>
      <c r="K60" s="215">
        <v>2522</v>
      </c>
      <c r="L60" s="212">
        <f t="shared" si="3"/>
        <v>623</v>
      </c>
      <c r="M60" s="215">
        <v>623</v>
      </c>
      <c r="N60" s="342">
        <v>0</v>
      </c>
      <c r="O60" s="342">
        <v>0</v>
      </c>
      <c r="P60" s="215">
        <v>3</v>
      </c>
      <c r="Q60" s="215">
        <v>620</v>
      </c>
    </row>
    <row r="61" spans="1:17" s="103" customFormat="1" ht="15.75">
      <c r="A61" s="118">
        <v>51</v>
      </c>
      <c r="B61" s="123" t="s">
        <v>239</v>
      </c>
      <c r="C61" s="212">
        <f t="shared" si="4"/>
        <v>464</v>
      </c>
      <c r="D61" s="215">
        <v>459</v>
      </c>
      <c r="E61" s="215">
        <v>5</v>
      </c>
      <c r="F61" s="212">
        <f t="shared" si="5"/>
        <v>456</v>
      </c>
      <c r="G61" s="215">
        <v>451</v>
      </c>
      <c r="H61" s="215">
        <v>5</v>
      </c>
      <c r="I61" s="342">
        <v>0</v>
      </c>
      <c r="J61" s="215">
        <v>4</v>
      </c>
      <c r="K61" s="215">
        <v>452</v>
      </c>
      <c r="L61" s="212">
        <f t="shared" si="3"/>
        <v>8</v>
      </c>
      <c r="M61" s="215">
        <v>8</v>
      </c>
      <c r="N61" s="342">
        <v>0</v>
      </c>
      <c r="O61" s="342">
        <v>0</v>
      </c>
      <c r="P61" s="342">
        <v>0</v>
      </c>
      <c r="Q61" s="215">
        <v>8</v>
      </c>
    </row>
    <row r="62" spans="1:17" s="102" customFormat="1" ht="15.75">
      <c r="A62" s="118">
        <v>52</v>
      </c>
      <c r="B62" s="123" t="s">
        <v>240</v>
      </c>
      <c r="C62" s="212">
        <f t="shared" si="4"/>
        <v>2162</v>
      </c>
      <c r="D62" s="215">
        <v>2160</v>
      </c>
      <c r="E62" s="215">
        <v>2</v>
      </c>
      <c r="F62" s="212">
        <f t="shared" si="5"/>
        <v>1462</v>
      </c>
      <c r="G62" s="215">
        <v>1396</v>
      </c>
      <c r="H62" s="215">
        <v>66</v>
      </c>
      <c r="I62" s="342">
        <v>0</v>
      </c>
      <c r="J62" s="215">
        <v>13</v>
      </c>
      <c r="K62" s="215">
        <v>1449</v>
      </c>
      <c r="L62" s="212">
        <f t="shared" si="3"/>
        <v>628</v>
      </c>
      <c r="M62" s="215">
        <v>628</v>
      </c>
      <c r="N62" s="342">
        <v>0</v>
      </c>
      <c r="O62" s="342">
        <v>0</v>
      </c>
      <c r="P62" s="215">
        <v>7</v>
      </c>
      <c r="Q62" s="215">
        <v>621</v>
      </c>
    </row>
    <row r="63" spans="1:17" s="103" customFormat="1" ht="15.75">
      <c r="A63" s="118">
        <v>53</v>
      </c>
      <c r="B63" s="123" t="s">
        <v>241</v>
      </c>
      <c r="C63" s="212">
        <f t="shared" si="4"/>
        <v>4348</v>
      </c>
      <c r="D63" s="215">
        <v>4125</v>
      </c>
      <c r="E63" s="215">
        <v>223</v>
      </c>
      <c r="F63" s="212">
        <f t="shared" si="5"/>
        <v>4297</v>
      </c>
      <c r="G63" s="215">
        <v>4074</v>
      </c>
      <c r="H63" s="215">
        <v>223</v>
      </c>
      <c r="I63" s="215"/>
      <c r="J63" s="215"/>
      <c r="K63" s="215">
        <v>4297</v>
      </c>
      <c r="L63" s="212">
        <f t="shared" si="3"/>
        <v>51</v>
      </c>
      <c r="M63" s="215">
        <v>51</v>
      </c>
      <c r="N63" s="342">
        <v>0</v>
      </c>
      <c r="O63" s="342">
        <v>0</v>
      </c>
      <c r="P63" s="342">
        <v>0</v>
      </c>
      <c r="Q63" s="215">
        <v>51</v>
      </c>
    </row>
    <row r="64" spans="1:17" s="102" customFormat="1" ht="15.75">
      <c r="A64" s="118">
        <v>54</v>
      </c>
      <c r="B64" s="123" t="s">
        <v>242</v>
      </c>
      <c r="C64" s="212">
        <f t="shared" si="4"/>
        <v>1944</v>
      </c>
      <c r="D64" s="215">
        <v>1944</v>
      </c>
      <c r="E64" s="342">
        <v>0</v>
      </c>
      <c r="F64" s="212">
        <f t="shared" si="5"/>
        <v>3030</v>
      </c>
      <c r="G64" s="215">
        <v>3011</v>
      </c>
      <c r="H64" s="215">
        <v>19</v>
      </c>
      <c r="I64" s="215"/>
      <c r="J64" s="215">
        <v>6</v>
      </c>
      <c r="K64" s="215">
        <v>3024</v>
      </c>
      <c r="L64" s="212">
        <f t="shared" si="3"/>
        <v>18</v>
      </c>
      <c r="M64" s="215">
        <v>18</v>
      </c>
      <c r="N64" s="342">
        <v>0</v>
      </c>
      <c r="O64" s="342">
        <v>0</v>
      </c>
      <c r="P64" s="342">
        <v>0</v>
      </c>
      <c r="Q64" s="215">
        <v>8</v>
      </c>
    </row>
    <row r="65" spans="1:17" s="103" customFormat="1" ht="15.75">
      <c r="A65" s="118">
        <v>55</v>
      </c>
      <c r="B65" s="123" t="s">
        <v>243</v>
      </c>
      <c r="C65" s="212">
        <f t="shared" si="4"/>
        <v>10054</v>
      </c>
      <c r="D65" s="215">
        <v>10054</v>
      </c>
      <c r="E65" s="342">
        <v>0</v>
      </c>
      <c r="F65" s="212">
        <f t="shared" si="5"/>
        <v>3546</v>
      </c>
      <c r="G65" s="215">
        <v>3526</v>
      </c>
      <c r="H65" s="215">
        <v>20</v>
      </c>
      <c r="I65" s="342">
        <v>0</v>
      </c>
      <c r="J65" s="342">
        <v>0</v>
      </c>
      <c r="K65" s="215">
        <v>3546</v>
      </c>
      <c r="L65" s="212">
        <f t="shared" si="3"/>
        <v>49</v>
      </c>
      <c r="M65" s="215">
        <v>49</v>
      </c>
      <c r="N65" s="342">
        <v>0</v>
      </c>
      <c r="O65" s="342">
        <v>0</v>
      </c>
      <c r="P65" s="342">
        <v>0</v>
      </c>
      <c r="Q65" s="215">
        <v>49</v>
      </c>
    </row>
    <row r="66" spans="1:17" s="102" customFormat="1" ht="15.75">
      <c r="A66" s="118">
        <v>56</v>
      </c>
      <c r="B66" s="123" t="s">
        <v>244</v>
      </c>
      <c r="C66" s="212">
        <f t="shared" si="4"/>
        <v>1223</v>
      </c>
      <c r="D66" s="215">
        <v>1213</v>
      </c>
      <c r="E66" s="215">
        <v>10</v>
      </c>
      <c r="F66" s="212">
        <f t="shared" si="5"/>
        <v>2920</v>
      </c>
      <c r="G66" s="215">
        <v>2908</v>
      </c>
      <c r="H66" s="215">
        <v>12</v>
      </c>
      <c r="I66" s="342">
        <v>0</v>
      </c>
      <c r="J66" s="215">
        <v>2</v>
      </c>
      <c r="K66" s="215">
        <v>2918</v>
      </c>
      <c r="L66" s="212">
        <f t="shared" si="3"/>
        <v>1800</v>
      </c>
      <c r="M66" s="215">
        <v>1800</v>
      </c>
      <c r="N66" s="342">
        <v>0</v>
      </c>
      <c r="O66" s="342">
        <v>0</v>
      </c>
      <c r="P66" s="215">
        <v>10</v>
      </c>
      <c r="Q66" s="215">
        <v>1790</v>
      </c>
    </row>
    <row r="67" spans="1:17" s="103" customFormat="1" ht="15.75">
      <c r="A67" s="118">
        <v>57</v>
      </c>
      <c r="B67" s="123" t="s">
        <v>245</v>
      </c>
      <c r="C67" s="212">
        <f t="shared" si="4"/>
        <v>667</v>
      </c>
      <c r="D67" s="215">
        <v>667</v>
      </c>
      <c r="E67" s="342">
        <v>0</v>
      </c>
      <c r="F67" s="212">
        <f t="shared" si="5"/>
        <v>2548</v>
      </c>
      <c r="G67" s="215">
        <v>2533</v>
      </c>
      <c r="H67" s="215">
        <v>15</v>
      </c>
      <c r="I67" s="342">
        <v>0</v>
      </c>
      <c r="J67" s="342">
        <v>0</v>
      </c>
      <c r="K67" s="215">
        <v>2548</v>
      </c>
      <c r="L67" s="212">
        <f t="shared" si="3"/>
        <v>1300</v>
      </c>
      <c r="M67" s="215">
        <v>1300</v>
      </c>
      <c r="N67" s="342">
        <v>0</v>
      </c>
      <c r="O67" s="342">
        <v>0</v>
      </c>
      <c r="P67" s="342">
        <v>0</v>
      </c>
      <c r="Q67" s="215">
        <v>1300</v>
      </c>
    </row>
    <row r="68" spans="1:17" s="102" customFormat="1" ht="15.75">
      <c r="A68" s="118">
        <v>58</v>
      </c>
      <c r="B68" s="123" t="s">
        <v>246</v>
      </c>
      <c r="C68" s="212">
        <f t="shared" si="4"/>
        <v>45651</v>
      </c>
      <c r="D68" s="215">
        <v>42891</v>
      </c>
      <c r="E68" s="215">
        <v>2760</v>
      </c>
      <c r="F68" s="212">
        <f>J68+K68</f>
        <v>25299</v>
      </c>
      <c r="G68" s="215"/>
      <c r="H68" s="215"/>
      <c r="I68" s="342">
        <v>0</v>
      </c>
      <c r="J68" s="215">
        <v>108</v>
      </c>
      <c r="K68" s="215">
        <v>25191</v>
      </c>
      <c r="L68" s="212">
        <f>P68+Q68</f>
        <v>20352</v>
      </c>
      <c r="M68" s="215"/>
      <c r="N68" s="215"/>
      <c r="O68" s="342">
        <v>0</v>
      </c>
      <c r="P68" s="215">
        <v>295</v>
      </c>
      <c r="Q68" s="267">
        <v>20057</v>
      </c>
    </row>
    <row r="69" spans="1:17" s="103" customFormat="1" ht="15.75">
      <c r="A69" s="118">
        <v>59</v>
      </c>
      <c r="B69" s="123" t="s">
        <v>247</v>
      </c>
      <c r="C69" s="212">
        <f t="shared" si="4"/>
        <v>151</v>
      </c>
      <c r="D69" s="215">
        <v>151</v>
      </c>
      <c r="E69" s="342">
        <v>0</v>
      </c>
      <c r="F69" s="312">
        <f>G69+H69+I69</f>
        <v>1029</v>
      </c>
      <c r="G69" s="215">
        <v>939</v>
      </c>
      <c r="H69" s="215">
        <v>90</v>
      </c>
      <c r="I69" s="342">
        <v>0</v>
      </c>
      <c r="J69" s="215">
        <v>1</v>
      </c>
      <c r="K69" s="312">
        <v>1118</v>
      </c>
      <c r="L69" s="212">
        <f t="shared" si="3"/>
        <v>817</v>
      </c>
      <c r="M69" s="215">
        <v>817</v>
      </c>
      <c r="N69" s="342">
        <v>0</v>
      </c>
      <c r="O69" s="342">
        <v>0</v>
      </c>
      <c r="P69" s="215">
        <v>2</v>
      </c>
      <c r="Q69" s="215">
        <v>815</v>
      </c>
    </row>
    <row r="70" spans="1:17" s="103" customFormat="1" ht="15.75">
      <c r="A70" s="118">
        <v>60</v>
      </c>
      <c r="B70" s="123" t="s">
        <v>248</v>
      </c>
      <c r="C70" s="212">
        <f t="shared" si="4"/>
        <v>1772</v>
      </c>
      <c r="D70" s="215">
        <v>1772</v>
      </c>
      <c r="E70" s="342">
        <v>0</v>
      </c>
      <c r="F70" s="212">
        <f>G70+H70+I70</f>
        <v>678</v>
      </c>
      <c r="G70" s="215">
        <v>677</v>
      </c>
      <c r="H70" s="215">
        <v>1</v>
      </c>
      <c r="I70" s="342">
        <v>0</v>
      </c>
      <c r="J70" s="215">
        <v>3</v>
      </c>
      <c r="K70" s="215">
        <v>675</v>
      </c>
      <c r="L70" s="212">
        <f t="shared" si="3"/>
        <v>13</v>
      </c>
      <c r="M70" s="215">
        <v>13</v>
      </c>
      <c r="N70" s="342">
        <v>0</v>
      </c>
      <c r="O70" s="342">
        <v>0</v>
      </c>
      <c r="P70" s="342">
        <v>0</v>
      </c>
      <c r="Q70" s="215">
        <v>13</v>
      </c>
    </row>
    <row r="71" spans="1:17" s="103" customFormat="1" ht="15.75">
      <c r="A71" s="118">
        <v>61</v>
      </c>
      <c r="B71" s="123" t="s">
        <v>249</v>
      </c>
      <c r="C71" s="212">
        <f t="shared" si="4"/>
        <v>2435</v>
      </c>
      <c r="D71" s="215">
        <v>2420</v>
      </c>
      <c r="E71" s="215">
        <v>15</v>
      </c>
      <c r="F71" s="212">
        <f>G71+H71+I71</f>
        <v>1485</v>
      </c>
      <c r="G71" s="215">
        <v>1474</v>
      </c>
      <c r="H71" s="215">
        <v>11</v>
      </c>
      <c r="I71" s="342">
        <v>0</v>
      </c>
      <c r="J71" s="215">
        <v>2</v>
      </c>
      <c r="K71" s="215">
        <v>1483</v>
      </c>
      <c r="L71" s="212">
        <f t="shared" si="3"/>
        <v>950</v>
      </c>
      <c r="M71" s="215">
        <v>946</v>
      </c>
      <c r="N71" s="342">
        <v>0</v>
      </c>
      <c r="O71" s="215">
        <v>4</v>
      </c>
      <c r="P71" s="215">
        <v>3</v>
      </c>
      <c r="Q71" s="215">
        <v>947</v>
      </c>
    </row>
    <row r="72" spans="1:17" s="103" customFormat="1" ht="15.75">
      <c r="A72" s="118">
        <v>62</v>
      </c>
      <c r="B72" s="123" t="s">
        <v>250</v>
      </c>
      <c r="C72" s="212">
        <f t="shared" si="4"/>
        <v>3718</v>
      </c>
      <c r="D72" s="215">
        <v>3688</v>
      </c>
      <c r="E72" s="215">
        <v>30</v>
      </c>
      <c r="F72" s="212">
        <f>G72+H72+I72</f>
        <v>3688</v>
      </c>
      <c r="G72" s="215">
        <v>3662</v>
      </c>
      <c r="H72" s="215">
        <v>26</v>
      </c>
      <c r="I72" s="342">
        <v>0</v>
      </c>
      <c r="J72" s="342">
        <v>0</v>
      </c>
      <c r="K72" s="215">
        <v>3686</v>
      </c>
      <c r="L72" s="212">
        <v>14</v>
      </c>
      <c r="M72" s="342">
        <v>0</v>
      </c>
      <c r="N72" s="342">
        <v>0</v>
      </c>
      <c r="O72" s="342">
        <v>0</v>
      </c>
      <c r="P72" s="342">
        <v>0</v>
      </c>
      <c r="Q72" s="342">
        <v>0</v>
      </c>
    </row>
    <row r="73" spans="1:17" s="102" customFormat="1" ht="15.75">
      <c r="A73" s="118">
        <v>63</v>
      </c>
      <c r="B73" s="123" t="s">
        <v>251</v>
      </c>
      <c r="C73" s="212">
        <f t="shared" si="4"/>
        <v>646</v>
      </c>
      <c r="D73" s="215">
        <v>646</v>
      </c>
      <c r="E73" s="342">
        <v>0</v>
      </c>
      <c r="F73" s="212">
        <f>G73+H73+I73</f>
        <v>1451</v>
      </c>
      <c r="G73" s="215">
        <v>1451</v>
      </c>
      <c r="H73" s="342">
        <v>0</v>
      </c>
      <c r="I73" s="342">
        <v>0</v>
      </c>
      <c r="J73" s="215">
        <v>2</v>
      </c>
      <c r="K73" s="215">
        <v>1449</v>
      </c>
      <c r="L73" s="212">
        <f t="shared" si="3"/>
        <v>5</v>
      </c>
      <c r="M73" s="215">
        <v>5</v>
      </c>
      <c r="N73" s="342">
        <v>0</v>
      </c>
      <c r="O73" s="342">
        <v>0</v>
      </c>
      <c r="P73" s="342">
        <v>0</v>
      </c>
      <c r="Q73" s="342">
        <v>0</v>
      </c>
    </row>
    <row r="76" spans="1:19" s="153" customFormat="1" ht="12.75">
      <c r="A76" s="43"/>
      <c r="B76" s="43" t="s">
        <v>254</v>
      </c>
      <c r="C76" s="32" t="s">
        <v>311</v>
      </c>
      <c r="D76" s="43"/>
      <c r="E76" s="43"/>
      <c r="F76" s="43"/>
      <c r="G76" s="43"/>
      <c r="H76" s="43"/>
      <c r="I76" s="43"/>
      <c r="J76" s="43"/>
      <c r="K76" s="151"/>
      <c r="L76" s="43"/>
      <c r="M76" s="43"/>
      <c r="N76" s="43"/>
      <c r="O76" s="43"/>
      <c r="P76" s="43"/>
      <c r="Q76" s="43"/>
      <c r="R76" s="43"/>
      <c r="S76" s="152"/>
    </row>
    <row r="77" spans="1:18" s="150" customFormat="1" ht="12.75">
      <c r="A77" s="43"/>
      <c r="B77" s="43" t="s">
        <v>290</v>
      </c>
      <c r="C77" s="43" t="s">
        <v>291</v>
      </c>
      <c r="E77" s="43"/>
      <c r="F77" s="43"/>
      <c r="G77" s="43"/>
      <c r="H77" s="43"/>
      <c r="I77" s="43"/>
      <c r="J77" s="43"/>
      <c r="K77" s="151"/>
      <c r="L77" s="43"/>
      <c r="M77" s="43"/>
      <c r="N77" s="43"/>
      <c r="O77" s="43"/>
      <c r="P77" s="43"/>
      <c r="Q77" s="43"/>
      <c r="R77" s="43"/>
    </row>
    <row r="78" spans="1:17" s="150" customFormat="1" ht="12.75">
      <c r="A78" s="43"/>
      <c r="B78" s="156"/>
      <c r="C78" s="156" t="s">
        <v>281</v>
      </c>
      <c r="D78" s="157"/>
      <c r="E78" s="156"/>
      <c r="F78" s="156"/>
      <c r="G78" s="156"/>
      <c r="H78" s="156"/>
      <c r="I78" s="156"/>
      <c r="J78" s="156"/>
      <c r="K78" s="151"/>
      <c r="L78" s="43"/>
      <c r="M78" s="43"/>
      <c r="N78" s="43"/>
      <c r="O78" s="43"/>
      <c r="P78" s="43"/>
      <c r="Q78" s="43"/>
    </row>
    <row r="79" spans="1:17" s="150" customFormat="1" ht="12.75">
      <c r="A79" s="43"/>
      <c r="B79" s="227"/>
      <c r="C79" s="43" t="s">
        <v>258</v>
      </c>
      <c r="E79" s="43"/>
      <c r="F79" s="43"/>
      <c r="G79" s="43"/>
      <c r="H79" s="43"/>
      <c r="I79" s="43"/>
      <c r="J79" s="43"/>
      <c r="K79" s="151"/>
      <c r="L79" s="43"/>
      <c r="M79" s="43"/>
      <c r="N79" s="43"/>
      <c r="O79" s="43"/>
      <c r="P79" s="43"/>
      <c r="Q79" s="43"/>
    </row>
    <row r="80" spans="1:17" s="150" customFormat="1" ht="12.75">
      <c r="A80" s="43"/>
      <c r="B80" s="251"/>
      <c r="C80" s="43" t="s">
        <v>285</v>
      </c>
      <c r="D80" s="43"/>
      <c r="E80" s="43"/>
      <c r="F80" s="43"/>
      <c r="G80" s="43"/>
      <c r="H80" s="43"/>
      <c r="I80" s="43"/>
      <c r="J80" s="43"/>
      <c r="K80" s="43"/>
      <c r="L80" s="43"/>
      <c r="M80" s="43"/>
      <c r="N80" s="43"/>
      <c r="O80" s="43"/>
      <c r="P80" s="43"/>
      <c r="Q80" s="43"/>
    </row>
    <row r="81" spans="1:17" s="150" customFormat="1" ht="12.75">
      <c r="A81" s="43"/>
      <c r="B81" s="228"/>
      <c r="C81" s="43" t="s">
        <v>286</v>
      </c>
      <c r="D81" s="43"/>
      <c r="E81" s="43"/>
      <c r="F81" s="43"/>
      <c r="G81" s="43"/>
      <c r="H81" s="43"/>
      <c r="I81" s="43"/>
      <c r="J81" s="43"/>
      <c r="K81" s="43"/>
      <c r="L81" s="43"/>
      <c r="M81" s="43"/>
      <c r="N81" s="43"/>
      <c r="O81" s="43"/>
      <c r="P81" s="43"/>
      <c r="Q81" s="43"/>
    </row>
    <row r="82" spans="2:17" s="5" customFormat="1" ht="12.75">
      <c r="B82" s="252"/>
      <c r="C82" s="43" t="s">
        <v>288</v>
      </c>
      <c r="L82" s="16"/>
      <c r="Q82"/>
    </row>
  </sheetData>
  <sheetProtection/>
  <mergeCells count="16">
    <mergeCell ref="A10:B10"/>
    <mergeCell ref="A6:B8"/>
    <mergeCell ref="A9:B9"/>
    <mergeCell ref="C7:C8"/>
    <mergeCell ref="C6:E6"/>
    <mergeCell ref="D7:E7"/>
    <mergeCell ref="M7:O7"/>
    <mergeCell ref="P7:Q7"/>
    <mergeCell ref="A3:Q3"/>
    <mergeCell ref="A4:Q4"/>
    <mergeCell ref="F6:K6"/>
    <mergeCell ref="L6:Q6"/>
    <mergeCell ref="F7:F8"/>
    <mergeCell ref="L7:L8"/>
    <mergeCell ref="G7:I7"/>
    <mergeCell ref="J7:K7"/>
  </mergeCells>
  <printOptions/>
  <pageMargins left="0.75" right="0.25" top="0.75" bottom="0.75" header="0.5" footer="0.5"/>
  <pageSetup horizontalDpi="200" verticalDpi="200" orientation="landscape" paperSize="9" r:id="rId2"/>
  <drawing r:id="rId1"/>
</worksheet>
</file>

<file path=xl/worksheets/sheet7.xml><?xml version="1.0" encoding="utf-8"?>
<worksheet xmlns="http://schemas.openxmlformats.org/spreadsheetml/2006/main" xmlns:r="http://schemas.openxmlformats.org/officeDocument/2006/relationships">
  <dimension ref="A1:V86"/>
  <sheetViews>
    <sheetView view="pageLayout" zoomScaleNormal="85" workbookViewId="0" topLeftCell="A1">
      <selection activeCell="N10" activeCellId="1" sqref="L10 N10"/>
    </sheetView>
  </sheetViews>
  <sheetFormatPr defaultColWidth="9.140625" defaultRowHeight="12.75"/>
  <cols>
    <col min="1" max="1" width="4.57421875" style="0" customWidth="1"/>
    <col min="2" max="2" width="12.140625" style="0" customWidth="1"/>
    <col min="3" max="5" width="6.57421875" style="0" customWidth="1"/>
    <col min="6" max="6" width="7.7109375" style="0" customWidth="1"/>
    <col min="7" max="7" width="6.57421875" style="0" customWidth="1"/>
    <col min="8" max="8" width="7.7109375" style="0" customWidth="1"/>
    <col min="9" max="10" width="11.421875" style="0" customWidth="1"/>
    <col min="11" max="11" width="9.57421875" style="0" customWidth="1"/>
    <col min="12" max="12" width="16.8515625" style="202" customWidth="1"/>
    <col min="13" max="13" width="14.28125" style="202" customWidth="1"/>
    <col min="14" max="14" width="16.140625" style="202" customWidth="1"/>
    <col min="15" max="15" width="16.140625" style="208" customWidth="1"/>
    <col min="19" max="19" width="22.7109375" style="202" customWidth="1"/>
    <col min="20" max="20" width="19.7109375" style="202" customWidth="1"/>
    <col min="21" max="22" width="16.57421875" style="0" bestFit="1" customWidth="1"/>
  </cols>
  <sheetData>
    <row r="1" spans="1:15" ht="18.75">
      <c r="A1" s="437" t="s">
        <v>7</v>
      </c>
      <c r="B1" s="437"/>
      <c r="C1" s="46"/>
      <c r="D1" s="46"/>
      <c r="E1" s="46"/>
      <c r="F1" s="46"/>
      <c r="G1" s="46"/>
      <c r="H1" s="46"/>
      <c r="I1" s="46"/>
      <c r="J1" s="46"/>
      <c r="K1" s="46"/>
      <c r="L1" s="124"/>
      <c r="M1" s="124"/>
      <c r="N1" s="124"/>
      <c r="O1" s="124"/>
    </row>
    <row r="2" spans="1:15" ht="18.75">
      <c r="A2" s="461" t="s">
        <v>82</v>
      </c>
      <c r="B2" s="461"/>
      <c r="C2" s="461"/>
      <c r="D2" s="461"/>
      <c r="E2" s="461"/>
      <c r="F2" s="461"/>
      <c r="G2" s="461"/>
      <c r="H2" s="461"/>
      <c r="I2" s="461"/>
      <c r="J2" s="461"/>
      <c r="K2" s="461"/>
      <c r="L2" s="461"/>
      <c r="M2" s="461"/>
      <c r="N2" s="461"/>
      <c r="O2" s="41"/>
    </row>
    <row r="3" spans="1:15" ht="18.75">
      <c r="A3" s="483" t="s">
        <v>148</v>
      </c>
      <c r="B3" s="483"/>
      <c r="C3" s="483"/>
      <c r="D3" s="483"/>
      <c r="E3" s="483"/>
      <c r="F3" s="483"/>
      <c r="G3" s="483"/>
      <c r="H3" s="483"/>
      <c r="I3" s="483"/>
      <c r="J3" s="483"/>
      <c r="K3" s="483"/>
      <c r="L3" s="483"/>
      <c r="M3" s="483"/>
      <c r="N3" s="483"/>
      <c r="O3" s="198"/>
    </row>
    <row r="4" spans="1:15" ht="18.75">
      <c r="A4" s="438" t="s">
        <v>315</v>
      </c>
      <c r="B4" s="484"/>
      <c r="C4" s="484"/>
      <c r="D4" s="484"/>
      <c r="E4" s="484"/>
      <c r="F4" s="484"/>
      <c r="G4" s="484"/>
      <c r="H4" s="484"/>
      <c r="I4" s="484"/>
      <c r="J4" s="484"/>
      <c r="K4" s="484"/>
      <c r="L4" s="484"/>
      <c r="M4" s="484"/>
      <c r="N4" s="484"/>
      <c r="O4" s="42"/>
    </row>
    <row r="5" spans="1:15" ht="12.75">
      <c r="A5" s="17"/>
      <c r="B5" s="132"/>
      <c r="C5" s="1"/>
      <c r="D5" s="1"/>
      <c r="E5" s="1"/>
      <c r="F5" s="1"/>
      <c r="G5" s="1"/>
      <c r="H5" s="1"/>
      <c r="I5" s="18"/>
      <c r="J5" s="18"/>
      <c r="K5" s="19"/>
      <c r="L5" s="203" t="s">
        <v>279</v>
      </c>
      <c r="M5" s="203"/>
      <c r="N5" s="203"/>
      <c r="O5" s="203"/>
    </row>
    <row r="6" spans="1:20" s="32" customFormat="1" ht="24.75" customHeight="1">
      <c r="A6" s="482"/>
      <c r="B6" s="482"/>
      <c r="C6" s="489" t="s">
        <v>72</v>
      </c>
      <c r="D6" s="490"/>
      <c r="E6" s="491"/>
      <c r="F6" s="494" t="s">
        <v>73</v>
      </c>
      <c r="G6" s="495"/>
      <c r="H6" s="496"/>
      <c r="I6" s="459" t="s">
        <v>74</v>
      </c>
      <c r="J6" s="459"/>
      <c r="K6" s="459"/>
      <c r="L6" s="481" t="s">
        <v>77</v>
      </c>
      <c r="M6" s="481" t="s">
        <v>25</v>
      </c>
      <c r="N6" s="481" t="s">
        <v>26</v>
      </c>
      <c r="O6" s="209"/>
      <c r="S6" s="127"/>
      <c r="T6" s="127"/>
    </row>
    <row r="7" spans="1:20" s="32" customFormat="1" ht="18" customHeight="1">
      <c r="A7" s="482"/>
      <c r="B7" s="482"/>
      <c r="C7" s="492" t="s">
        <v>9</v>
      </c>
      <c r="D7" s="485" t="s">
        <v>44</v>
      </c>
      <c r="E7" s="486"/>
      <c r="F7" s="492" t="s">
        <v>9</v>
      </c>
      <c r="G7" s="485" t="s">
        <v>44</v>
      </c>
      <c r="H7" s="486"/>
      <c r="I7" s="396" t="s">
        <v>9</v>
      </c>
      <c r="J7" s="394" t="s">
        <v>44</v>
      </c>
      <c r="K7" s="395"/>
      <c r="L7" s="481"/>
      <c r="M7" s="481"/>
      <c r="N7" s="481"/>
      <c r="O7" s="209"/>
      <c r="S7" s="127"/>
      <c r="T7" s="127"/>
    </row>
    <row r="8" spans="1:20" s="32" customFormat="1" ht="48">
      <c r="A8" s="482"/>
      <c r="B8" s="482"/>
      <c r="C8" s="493"/>
      <c r="D8" s="78" t="s">
        <v>133</v>
      </c>
      <c r="E8" s="78" t="s">
        <v>134</v>
      </c>
      <c r="F8" s="493"/>
      <c r="G8" s="78" t="s">
        <v>133</v>
      </c>
      <c r="H8" s="78" t="s">
        <v>134</v>
      </c>
      <c r="I8" s="403"/>
      <c r="J8" s="33" t="s">
        <v>76</v>
      </c>
      <c r="K8" s="33" t="s">
        <v>75</v>
      </c>
      <c r="L8" s="481"/>
      <c r="M8" s="481"/>
      <c r="N8" s="481"/>
      <c r="O8" s="209"/>
      <c r="S8" s="127"/>
      <c r="T8" s="127"/>
    </row>
    <row r="9" spans="1:20" s="32" customFormat="1" ht="12.75">
      <c r="A9" s="487" t="s">
        <v>40</v>
      </c>
      <c r="B9" s="488"/>
      <c r="C9" s="59">
        <v>1</v>
      </c>
      <c r="D9" s="59">
        <v>2</v>
      </c>
      <c r="E9" s="59">
        <v>3</v>
      </c>
      <c r="F9" s="59">
        <v>4</v>
      </c>
      <c r="G9" s="59">
        <v>5</v>
      </c>
      <c r="H9" s="59">
        <v>6</v>
      </c>
      <c r="I9" s="59">
        <v>7</v>
      </c>
      <c r="J9" s="59">
        <v>8</v>
      </c>
      <c r="K9" s="59">
        <v>9</v>
      </c>
      <c r="L9" s="59">
        <v>10</v>
      </c>
      <c r="M9" s="59">
        <v>11</v>
      </c>
      <c r="N9" s="59">
        <v>12</v>
      </c>
      <c r="O9" s="210"/>
      <c r="S9" s="127"/>
      <c r="T9" s="127"/>
    </row>
    <row r="10" spans="1:20" s="225" customFormat="1" ht="30" customHeight="1">
      <c r="A10" s="479" t="s">
        <v>97</v>
      </c>
      <c r="B10" s="480"/>
      <c r="C10" s="223">
        <f>SUM(C11:C73)</f>
        <v>723</v>
      </c>
      <c r="D10" s="223">
        <f>SUM(D11:D73)</f>
        <v>140</v>
      </c>
      <c r="E10" s="223">
        <f>SUM(E11:E73)</f>
        <v>583</v>
      </c>
      <c r="F10" s="223">
        <f>SUM(F11:F73)</f>
        <v>1453</v>
      </c>
      <c r="G10" s="223">
        <f>SUM(G11:G73)</f>
        <v>454</v>
      </c>
      <c r="H10" s="223">
        <f aca="true" t="shared" si="0" ref="H10:N10">SUM(H11:H73)</f>
        <v>999</v>
      </c>
      <c r="I10" s="223">
        <f t="shared" si="0"/>
        <v>2474039</v>
      </c>
      <c r="J10" s="223">
        <f t="shared" si="0"/>
        <v>2122018</v>
      </c>
      <c r="K10" s="223">
        <f t="shared" si="0"/>
        <v>100399</v>
      </c>
      <c r="L10" s="381">
        <f t="shared" si="0"/>
        <v>24197733165.163</v>
      </c>
      <c r="M10" s="223">
        <f t="shared" si="0"/>
        <v>120983407.91100001</v>
      </c>
      <c r="N10" s="381">
        <f t="shared" si="0"/>
        <v>5349972557.667001</v>
      </c>
      <c r="O10" s="224"/>
      <c r="S10" s="226"/>
      <c r="T10" s="226"/>
    </row>
    <row r="11" spans="1:15" ht="15.75">
      <c r="A11" s="118">
        <v>1</v>
      </c>
      <c r="B11" s="119" t="s">
        <v>168</v>
      </c>
      <c r="C11" s="212">
        <f>D11+E11</f>
        <v>17</v>
      </c>
      <c r="D11" s="215">
        <v>2</v>
      </c>
      <c r="E11" s="215">
        <v>15</v>
      </c>
      <c r="F11" s="212">
        <f>G11+H11</f>
        <v>25</v>
      </c>
      <c r="G11" s="215">
        <v>7</v>
      </c>
      <c r="H11" s="215">
        <v>18</v>
      </c>
      <c r="I11" s="212">
        <f>J11+K11</f>
        <v>67031</v>
      </c>
      <c r="J11" s="215">
        <f>15859+4955+333+37258+3503+2590</f>
        <v>64498</v>
      </c>
      <c r="K11" s="215">
        <f>2131+105+13+284</f>
        <v>2533</v>
      </c>
      <c r="L11" s="215">
        <v>15411539</v>
      </c>
      <c r="M11" s="215">
        <v>3344718</v>
      </c>
      <c r="N11" s="215">
        <v>3381733</v>
      </c>
      <c r="O11" s="211"/>
    </row>
    <row r="12" spans="1:15" ht="30">
      <c r="A12" s="118">
        <v>2</v>
      </c>
      <c r="B12" s="119" t="s">
        <v>253</v>
      </c>
      <c r="C12" s="212">
        <f aca="true" t="shared" si="1" ref="C12:C73">D12+E12</f>
        <v>18</v>
      </c>
      <c r="D12" s="215">
        <v>3</v>
      </c>
      <c r="E12" s="215">
        <v>15</v>
      </c>
      <c r="F12" s="212">
        <f aca="true" t="shared" si="2" ref="F12:F73">G12+H12</f>
        <v>25</v>
      </c>
      <c r="G12" s="215">
        <v>10</v>
      </c>
      <c r="H12" s="215">
        <v>15</v>
      </c>
      <c r="I12" s="212">
        <f aca="true" t="shared" si="3" ref="I12:I73">J12+K12</f>
        <v>81052</v>
      </c>
      <c r="J12" s="269">
        <f>26659+6655+1104+24708+9935+9227</f>
        <v>78288</v>
      </c>
      <c r="K12" s="269">
        <f>2344+40+380</f>
        <v>2764</v>
      </c>
      <c r="L12" s="269">
        <v>19018163</v>
      </c>
      <c r="M12" s="269">
        <v>2813090</v>
      </c>
      <c r="N12" s="269">
        <v>5519370</v>
      </c>
      <c r="O12" s="211"/>
    </row>
    <row r="13" spans="1:15" ht="15.75">
      <c r="A13" s="118">
        <v>3</v>
      </c>
      <c r="B13" s="119" t="s">
        <v>169</v>
      </c>
      <c r="C13" s="212">
        <f t="shared" si="1"/>
        <v>13</v>
      </c>
      <c r="D13" s="215">
        <v>2</v>
      </c>
      <c r="E13" s="215">
        <v>11</v>
      </c>
      <c r="F13" s="212">
        <f t="shared" si="2"/>
        <v>15</v>
      </c>
      <c r="G13" s="215">
        <v>4</v>
      </c>
      <c r="H13" s="215">
        <v>11</v>
      </c>
      <c r="I13" s="212">
        <f>J13+K13</f>
        <v>13065</v>
      </c>
      <c r="J13" s="215">
        <f>2963+1081+190+5234+2369+741</f>
        <v>12578</v>
      </c>
      <c r="K13" s="215">
        <f>453+12+22</f>
        <v>487</v>
      </c>
      <c r="L13" s="215">
        <v>3721044</v>
      </c>
      <c r="M13" s="215">
        <v>166375</v>
      </c>
      <c r="N13" s="215">
        <v>629486</v>
      </c>
      <c r="O13" s="211"/>
    </row>
    <row r="14" spans="1:15" ht="15.75">
      <c r="A14" s="118">
        <v>4</v>
      </c>
      <c r="B14" s="119" t="s">
        <v>170</v>
      </c>
      <c r="C14" s="212">
        <f t="shared" si="1"/>
        <v>3</v>
      </c>
      <c r="D14" s="215">
        <v>3</v>
      </c>
      <c r="E14" s="342">
        <v>0</v>
      </c>
      <c r="F14" s="212">
        <f t="shared" si="2"/>
        <v>4</v>
      </c>
      <c r="G14" s="215">
        <v>4</v>
      </c>
      <c r="H14" s="215"/>
      <c r="I14" s="212">
        <f t="shared" si="3"/>
        <v>3599</v>
      </c>
      <c r="J14" s="215">
        <f>1084+111+3+1248+896+192</f>
        <v>3534</v>
      </c>
      <c r="K14" s="215">
        <v>65</v>
      </c>
      <c r="L14" s="215">
        <v>1107122</v>
      </c>
      <c r="M14" s="215">
        <v>42900</v>
      </c>
      <c r="N14" s="215">
        <v>553561</v>
      </c>
      <c r="O14" s="211"/>
    </row>
    <row r="15" spans="1:15" ht="15.75">
      <c r="A15" s="118">
        <v>5</v>
      </c>
      <c r="B15" s="119" t="s">
        <v>171</v>
      </c>
      <c r="C15" s="212">
        <f t="shared" si="1"/>
        <v>6</v>
      </c>
      <c r="D15" s="215">
        <v>1</v>
      </c>
      <c r="E15" s="215">
        <v>5</v>
      </c>
      <c r="F15" s="212">
        <f t="shared" si="2"/>
        <v>9</v>
      </c>
      <c r="G15" s="215">
        <v>3</v>
      </c>
      <c r="H15" s="215">
        <v>6</v>
      </c>
      <c r="I15" s="212">
        <f t="shared" si="3"/>
        <v>9431</v>
      </c>
      <c r="J15" s="215">
        <f>2551+758+172+4507+679+303</f>
        <v>8970</v>
      </c>
      <c r="K15" s="215">
        <f>425+13+23</f>
        <v>461</v>
      </c>
      <c r="L15" s="215">
        <v>2397914.9</v>
      </c>
      <c r="M15" s="215">
        <v>150343.9</v>
      </c>
      <c r="N15" s="215">
        <v>516157.8</v>
      </c>
      <c r="O15" s="211"/>
    </row>
    <row r="16" spans="1:15" ht="15.75">
      <c r="A16" s="118">
        <v>6</v>
      </c>
      <c r="B16" s="119" t="s">
        <v>172</v>
      </c>
      <c r="C16" s="212">
        <f>D16+E16</f>
        <v>14</v>
      </c>
      <c r="D16" s="215">
        <v>3</v>
      </c>
      <c r="E16" s="215">
        <v>11</v>
      </c>
      <c r="F16" s="212">
        <f>G16+H16</f>
        <v>18</v>
      </c>
      <c r="G16" s="215">
        <v>5</v>
      </c>
      <c r="H16" s="215">
        <v>13</v>
      </c>
      <c r="I16" s="212">
        <f>J16+K16</f>
        <v>29874</v>
      </c>
      <c r="J16" s="215">
        <f>7689+2284+526+13715+2652+2375</f>
        <v>29241</v>
      </c>
      <c r="K16" s="215">
        <f>599+16+0+18</f>
        <v>633</v>
      </c>
      <c r="L16" s="215">
        <v>8741524</v>
      </c>
      <c r="M16" s="215">
        <v>92283</v>
      </c>
      <c r="N16" s="215">
        <v>1901212</v>
      </c>
      <c r="O16" s="211"/>
    </row>
    <row r="17" spans="1:15" ht="15.75">
      <c r="A17" s="118">
        <v>7</v>
      </c>
      <c r="B17" s="119" t="s">
        <v>173</v>
      </c>
      <c r="C17" s="335"/>
      <c r="D17" s="335"/>
      <c r="E17" s="335"/>
      <c r="F17" s="335"/>
      <c r="G17" s="335"/>
      <c r="H17" s="335"/>
      <c r="I17" s="335"/>
      <c r="J17" s="335"/>
      <c r="K17" s="335"/>
      <c r="L17" s="335"/>
      <c r="M17" s="335"/>
      <c r="N17" s="335"/>
      <c r="O17" s="211"/>
    </row>
    <row r="18" spans="1:15" ht="15.75">
      <c r="A18" s="118">
        <v>8</v>
      </c>
      <c r="B18" s="119" t="s">
        <v>174</v>
      </c>
      <c r="C18" s="212">
        <f t="shared" si="1"/>
        <v>8</v>
      </c>
      <c r="D18" s="215">
        <v>3</v>
      </c>
      <c r="E18" s="215">
        <v>5</v>
      </c>
      <c r="F18" s="212">
        <f t="shared" si="2"/>
        <v>15</v>
      </c>
      <c r="G18" s="215">
        <v>6</v>
      </c>
      <c r="H18" s="215">
        <v>9</v>
      </c>
      <c r="I18" s="212">
        <f t="shared" si="3"/>
        <v>28218</v>
      </c>
      <c r="J18" s="215">
        <f>4027+6802+409+10090+4433+1622</f>
        <v>27383</v>
      </c>
      <c r="K18" s="215">
        <f>643+76+116</f>
        <v>835</v>
      </c>
      <c r="L18" s="215">
        <v>6352178</v>
      </c>
      <c r="M18" s="215">
        <v>129130</v>
      </c>
      <c r="N18" s="215">
        <v>2324580</v>
      </c>
      <c r="O18" s="211"/>
    </row>
    <row r="19" spans="1:20" ht="15.75">
      <c r="A19" s="118">
        <v>9</v>
      </c>
      <c r="B19" s="119" t="s">
        <v>175</v>
      </c>
      <c r="C19" s="212">
        <f t="shared" si="1"/>
        <v>13</v>
      </c>
      <c r="D19" s="215">
        <v>2</v>
      </c>
      <c r="E19" s="215">
        <v>11</v>
      </c>
      <c r="F19" s="212">
        <f t="shared" si="2"/>
        <v>25</v>
      </c>
      <c r="G19" s="215">
        <v>7</v>
      </c>
      <c r="H19" s="215">
        <v>18</v>
      </c>
      <c r="I19" s="212">
        <f t="shared" si="3"/>
        <v>73497</v>
      </c>
      <c r="J19" s="215">
        <f>28090+7499+2044+16206+14082+3580</f>
        <v>71501</v>
      </c>
      <c r="K19" s="215">
        <f>357+36+1+1602</f>
        <v>1996</v>
      </c>
      <c r="L19" s="215">
        <v>9566538</v>
      </c>
      <c r="M19" s="215">
        <f>3309299</f>
        <v>3309299</v>
      </c>
      <c r="N19" s="215">
        <f>5057313</f>
        <v>5057313</v>
      </c>
      <c r="O19" s="211"/>
      <c r="S19" s="207"/>
      <c r="T19" s="207"/>
    </row>
    <row r="20" spans="1:15" ht="15.75">
      <c r="A20" s="118">
        <v>10</v>
      </c>
      <c r="B20" s="119" t="s">
        <v>176</v>
      </c>
      <c r="C20" s="212">
        <f t="shared" si="1"/>
        <v>12</v>
      </c>
      <c r="D20" s="215">
        <v>3</v>
      </c>
      <c r="E20" s="215">
        <v>9</v>
      </c>
      <c r="F20" s="212">
        <f t="shared" si="2"/>
        <v>17</v>
      </c>
      <c r="G20" s="215">
        <v>4</v>
      </c>
      <c r="H20" s="215">
        <v>13</v>
      </c>
      <c r="I20" s="212">
        <f t="shared" si="3"/>
        <v>47214</v>
      </c>
      <c r="J20" s="215">
        <f>10932+2405+781+20933+5072+2128</f>
        <v>42251</v>
      </c>
      <c r="K20" s="215">
        <f>3279+559+109+1016</f>
        <v>4963</v>
      </c>
      <c r="L20" s="312">
        <v>11062351097</v>
      </c>
      <c r="M20" s="342">
        <v>0</v>
      </c>
      <c r="N20" s="312">
        <v>2307878324</v>
      </c>
      <c r="O20" s="211"/>
    </row>
    <row r="21" spans="1:15" ht="15.75">
      <c r="A21" s="118">
        <v>11</v>
      </c>
      <c r="B21" s="119" t="s">
        <v>177</v>
      </c>
      <c r="C21" s="212">
        <f t="shared" si="1"/>
        <v>6</v>
      </c>
      <c r="D21" s="215">
        <v>1</v>
      </c>
      <c r="E21" s="215">
        <v>5</v>
      </c>
      <c r="F21" s="212">
        <f t="shared" si="2"/>
        <v>9</v>
      </c>
      <c r="G21" s="215">
        <v>4</v>
      </c>
      <c r="H21" s="215">
        <v>5</v>
      </c>
      <c r="I21" s="212">
        <f t="shared" si="3"/>
        <v>18981</v>
      </c>
      <c r="J21" s="215">
        <f>4728+2501+396+5918+3490+942</f>
        <v>17975</v>
      </c>
      <c r="K21" s="215">
        <f>944+31+31</f>
        <v>1006</v>
      </c>
      <c r="L21" s="215">
        <v>3623076</v>
      </c>
      <c r="M21" s="215">
        <v>81610</v>
      </c>
      <c r="N21" s="215">
        <v>1610112</v>
      </c>
      <c r="O21" s="282"/>
    </row>
    <row r="22" spans="1:22" ht="15.75">
      <c r="A22" s="118">
        <v>12</v>
      </c>
      <c r="B22" s="119" t="s">
        <v>178</v>
      </c>
      <c r="C22" s="212">
        <f t="shared" si="1"/>
        <v>5</v>
      </c>
      <c r="D22" s="215">
        <v>1</v>
      </c>
      <c r="E22" s="215">
        <v>4</v>
      </c>
      <c r="F22" s="212">
        <f t="shared" si="2"/>
        <v>9</v>
      </c>
      <c r="G22" s="215">
        <v>4</v>
      </c>
      <c r="H22" s="215">
        <v>5</v>
      </c>
      <c r="I22" s="212">
        <f t="shared" si="3"/>
        <v>21543</v>
      </c>
      <c r="J22" s="215">
        <f>8218+4222+720+5480+1919+352</f>
        <v>20911</v>
      </c>
      <c r="K22" s="215">
        <f>470+47+115</f>
        <v>632</v>
      </c>
      <c r="L22" s="215">
        <v>4351552</v>
      </c>
      <c r="M22" s="215">
        <v>339395</v>
      </c>
      <c r="N22" s="215">
        <v>1229228</v>
      </c>
      <c r="O22" s="284"/>
      <c r="S22" s="207"/>
      <c r="T22" s="207"/>
      <c r="V22">
        <v>1891525215</v>
      </c>
    </row>
    <row r="23" spans="1:22" ht="15.75">
      <c r="A23" s="118">
        <v>13</v>
      </c>
      <c r="B23" s="119" t="s">
        <v>179</v>
      </c>
      <c r="C23" s="212">
        <f t="shared" si="1"/>
        <v>15</v>
      </c>
      <c r="D23" s="215">
        <v>2</v>
      </c>
      <c r="E23" s="215">
        <v>13</v>
      </c>
      <c r="F23" s="212">
        <f t="shared" si="2"/>
        <v>27</v>
      </c>
      <c r="G23" s="215">
        <v>10</v>
      </c>
      <c r="H23" s="215">
        <v>17</v>
      </c>
      <c r="I23" s="212">
        <f t="shared" si="3"/>
        <v>46031</v>
      </c>
      <c r="J23" s="215">
        <f>14918+1599+13647+7678+4090</f>
        <v>41932</v>
      </c>
      <c r="K23" s="215">
        <f>3227+33+839</f>
        <v>4099</v>
      </c>
      <c r="L23" s="270">
        <v>12450257</v>
      </c>
      <c r="M23" s="270">
        <v>1623214</v>
      </c>
      <c r="N23" s="270">
        <v>3909188</v>
      </c>
      <c r="O23" s="284"/>
      <c r="V23">
        <v>22925000</v>
      </c>
    </row>
    <row r="24" spans="1:22" ht="15.75">
      <c r="A24" s="118">
        <v>14</v>
      </c>
      <c r="B24" s="119" t="s">
        <v>180</v>
      </c>
      <c r="C24" s="212">
        <f t="shared" si="1"/>
        <v>3</v>
      </c>
      <c r="D24" s="215">
        <v>1</v>
      </c>
      <c r="E24" s="215">
        <v>2</v>
      </c>
      <c r="F24" s="212">
        <f t="shared" si="2"/>
        <v>5</v>
      </c>
      <c r="G24" s="215">
        <v>3</v>
      </c>
      <c r="H24" s="215">
        <v>2</v>
      </c>
      <c r="I24" s="212">
        <f t="shared" si="3"/>
        <v>1375</v>
      </c>
      <c r="J24" s="215">
        <f>457+53+11+616+52+88</f>
        <v>1277</v>
      </c>
      <c r="K24" s="215">
        <f>97+1</f>
        <v>98</v>
      </c>
      <c r="L24" s="215">
        <v>676463</v>
      </c>
      <c r="M24" s="342">
        <v>0</v>
      </c>
      <c r="N24" s="215">
        <v>148776</v>
      </c>
      <c r="O24" s="284"/>
      <c r="V24">
        <v>631600000</v>
      </c>
    </row>
    <row r="25" spans="1:22" ht="15.75">
      <c r="A25" s="118">
        <v>15</v>
      </c>
      <c r="B25" s="119" t="s">
        <v>181</v>
      </c>
      <c r="C25" s="212">
        <f t="shared" si="1"/>
        <v>12</v>
      </c>
      <c r="D25" s="215">
        <v>3</v>
      </c>
      <c r="E25" s="215">
        <v>9</v>
      </c>
      <c r="F25" s="212">
        <f t="shared" si="2"/>
        <v>32</v>
      </c>
      <c r="G25" s="215">
        <v>18</v>
      </c>
      <c r="H25" s="215">
        <v>14</v>
      </c>
      <c r="I25" s="212">
        <f t="shared" si="3"/>
        <v>60000</v>
      </c>
      <c r="J25" s="215">
        <f>20899+4196+2566+19519+5975+4096</f>
        <v>57251</v>
      </c>
      <c r="K25" s="215">
        <f>2201+10+538</f>
        <v>2749</v>
      </c>
      <c r="L25" s="215">
        <v>20402846</v>
      </c>
      <c r="M25" s="215">
        <v>2901449</v>
      </c>
      <c r="N25" s="215">
        <v>7194705</v>
      </c>
      <c r="O25" s="284"/>
      <c r="S25" s="207"/>
      <c r="T25" s="207"/>
      <c r="U25" s="204" t="s">
        <v>280</v>
      </c>
      <c r="V25" s="201">
        <f>SUM(V22:V24)</f>
        <v>2546050215</v>
      </c>
    </row>
    <row r="26" spans="1:15" ht="15.75">
      <c r="A26" s="118">
        <v>16</v>
      </c>
      <c r="B26" s="119" t="s">
        <v>182</v>
      </c>
      <c r="C26" s="212">
        <f t="shared" si="1"/>
        <v>11</v>
      </c>
      <c r="D26" s="215">
        <v>3</v>
      </c>
      <c r="E26" s="215">
        <v>8</v>
      </c>
      <c r="F26" s="212">
        <f t="shared" si="2"/>
        <v>15</v>
      </c>
      <c r="G26" s="215">
        <v>5</v>
      </c>
      <c r="H26" s="215">
        <v>10</v>
      </c>
      <c r="I26" s="212">
        <f t="shared" si="3"/>
        <v>48826</v>
      </c>
      <c r="J26" s="215">
        <f>11451+5850+823+25501+2368+817</f>
        <v>46810</v>
      </c>
      <c r="K26" s="215">
        <f>1379+226+100+311</f>
        <v>2016</v>
      </c>
      <c r="L26" s="215">
        <v>9698749</v>
      </c>
      <c r="M26" s="215">
        <v>451029</v>
      </c>
      <c r="N26" s="215">
        <v>2428550</v>
      </c>
      <c r="O26" s="211"/>
    </row>
    <row r="27" spans="1:15" ht="15.75">
      <c r="A27" s="118">
        <v>17</v>
      </c>
      <c r="B27" s="119" t="s">
        <v>183</v>
      </c>
      <c r="C27" s="212">
        <f t="shared" si="1"/>
        <v>5</v>
      </c>
      <c r="D27" s="215">
        <v>2</v>
      </c>
      <c r="E27" s="215">
        <v>3</v>
      </c>
      <c r="F27" s="212">
        <f t="shared" si="2"/>
        <v>8</v>
      </c>
      <c r="G27" s="215">
        <v>5</v>
      </c>
      <c r="H27" s="215">
        <v>3</v>
      </c>
      <c r="I27" s="212">
        <f t="shared" si="3"/>
        <v>6415</v>
      </c>
      <c r="J27" s="215">
        <f>1791+163+55+4008+201+34</f>
        <v>6252</v>
      </c>
      <c r="K27" s="215">
        <f>126+16+1+20</f>
        <v>163</v>
      </c>
      <c r="L27" s="215">
        <v>1818.005</v>
      </c>
      <c r="M27" s="342">
        <v>0</v>
      </c>
      <c r="N27" s="215">
        <v>909.002</v>
      </c>
      <c r="O27" s="211"/>
    </row>
    <row r="28" spans="1:20" ht="15.75">
      <c r="A28" s="118">
        <v>18</v>
      </c>
      <c r="B28" s="119" t="s">
        <v>184</v>
      </c>
      <c r="C28" s="212">
        <f t="shared" si="1"/>
        <v>3</v>
      </c>
      <c r="D28" s="215">
        <v>1</v>
      </c>
      <c r="E28" s="215">
        <v>2</v>
      </c>
      <c r="F28" s="212">
        <f t="shared" si="2"/>
        <v>5</v>
      </c>
      <c r="G28" s="215">
        <v>3</v>
      </c>
      <c r="H28" s="215">
        <v>2</v>
      </c>
      <c r="I28" s="212">
        <f t="shared" si="3"/>
        <v>3899</v>
      </c>
      <c r="J28" s="215">
        <f>731+94+11+1973+547+503</f>
        <v>3859</v>
      </c>
      <c r="K28" s="215">
        <f>22+18</f>
        <v>40</v>
      </c>
      <c r="L28" s="312">
        <v>1472748000</v>
      </c>
      <c r="M28" s="215">
        <v>12772000</v>
      </c>
      <c r="N28" s="312">
        <v>424287256</v>
      </c>
      <c r="O28" s="211"/>
      <c r="S28" s="207"/>
      <c r="T28" s="207"/>
    </row>
    <row r="29" spans="1:16" ht="15.75">
      <c r="A29" s="118">
        <v>19</v>
      </c>
      <c r="B29" s="120" t="s">
        <v>202</v>
      </c>
      <c r="C29" s="212">
        <f t="shared" si="1"/>
        <v>24</v>
      </c>
      <c r="D29" s="215">
        <v>4</v>
      </c>
      <c r="E29" s="215">
        <v>20</v>
      </c>
      <c r="F29" s="212">
        <f t="shared" si="2"/>
        <v>39</v>
      </c>
      <c r="G29" s="215">
        <v>13</v>
      </c>
      <c r="H29" s="215">
        <v>26</v>
      </c>
      <c r="I29" s="212">
        <f t="shared" si="3"/>
        <v>92838</v>
      </c>
      <c r="J29" s="215">
        <f>30707+8887+3057+27776+9865+7069</f>
        <v>87361</v>
      </c>
      <c r="K29" s="215">
        <f>5067+64+4+342</f>
        <v>5477</v>
      </c>
      <c r="L29" s="215">
        <v>25365875</v>
      </c>
      <c r="M29" s="215">
        <v>2903982</v>
      </c>
      <c r="N29" s="215">
        <v>5491645</v>
      </c>
      <c r="O29" s="211"/>
      <c r="P29" s="189"/>
    </row>
    <row r="30" spans="1:15" ht="15.75">
      <c r="A30" s="118">
        <v>20</v>
      </c>
      <c r="B30" s="120" t="s">
        <v>203</v>
      </c>
      <c r="C30" s="212">
        <f t="shared" si="1"/>
        <v>8</v>
      </c>
      <c r="D30" s="215">
        <v>3</v>
      </c>
      <c r="E30" s="215">
        <v>5</v>
      </c>
      <c r="F30" s="212">
        <f t="shared" si="2"/>
        <v>17</v>
      </c>
      <c r="G30" s="215">
        <v>8</v>
      </c>
      <c r="H30" s="215">
        <v>9</v>
      </c>
      <c r="I30" s="212">
        <f t="shared" si="3"/>
        <v>46909</v>
      </c>
      <c r="J30" s="215">
        <f>9602+12585+510+14242+3993+3170</f>
        <v>44102</v>
      </c>
      <c r="K30" s="215">
        <f>1439+82+1286</f>
        <v>2807</v>
      </c>
      <c r="L30" s="215">
        <f>8369285</f>
        <v>8369285</v>
      </c>
      <c r="M30" s="215">
        <f>675283</f>
        <v>675283</v>
      </c>
      <c r="N30" s="215">
        <v>3027130</v>
      </c>
      <c r="O30" s="211"/>
    </row>
    <row r="31" spans="1:15" ht="15.75">
      <c r="A31" s="118">
        <v>21</v>
      </c>
      <c r="B31" s="120" t="s">
        <v>204</v>
      </c>
      <c r="C31" s="212">
        <f t="shared" si="1"/>
        <v>8</v>
      </c>
      <c r="D31" s="215">
        <v>3</v>
      </c>
      <c r="E31" s="215">
        <v>5</v>
      </c>
      <c r="F31" s="212">
        <f t="shared" si="2"/>
        <v>15</v>
      </c>
      <c r="G31" s="215">
        <v>8</v>
      </c>
      <c r="H31" s="215">
        <v>7</v>
      </c>
      <c r="I31" s="212">
        <f t="shared" si="3"/>
        <v>37163</v>
      </c>
      <c r="J31" s="215">
        <f>10098+1588+711+19500+2943+1355</f>
        <v>36195</v>
      </c>
      <c r="K31" s="215">
        <f>799+102+67</f>
        <v>968</v>
      </c>
      <c r="L31" s="215">
        <f>9408521</f>
        <v>9408521</v>
      </c>
      <c r="M31" s="215">
        <v>329721</v>
      </c>
      <c r="N31" s="215">
        <v>3100244</v>
      </c>
      <c r="O31" s="211"/>
    </row>
    <row r="32" spans="1:15" ht="15.75">
      <c r="A32" s="118">
        <v>22</v>
      </c>
      <c r="B32" s="120" t="s">
        <v>205</v>
      </c>
      <c r="C32" s="212">
        <f t="shared" si="1"/>
        <v>4</v>
      </c>
      <c r="D32" s="215">
        <v>1</v>
      </c>
      <c r="E32" s="215">
        <v>3</v>
      </c>
      <c r="F32" s="212">
        <f t="shared" si="2"/>
        <v>4</v>
      </c>
      <c r="G32" s="215">
        <v>1</v>
      </c>
      <c r="H32" s="215">
        <v>3</v>
      </c>
      <c r="I32" s="212">
        <f t="shared" si="3"/>
        <v>5079</v>
      </c>
      <c r="J32" s="215">
        <f>2344+69+147+1922+138+294</f>
        <v>4914</v>
      </c>
      <c r="K32" s="215">
        <f>133+3+29</f>
        <v>165</v>
      </c>
      <c r="L32" s="215">
        <v>1338215</v>
      </c>
      <c r="M32" s="215">
        <v>57620</v>
      </c>
      <c r="N32" s="215">
        <v>443764</v>
      </c>
      <c r="O32" s="211"/>
    </row>
    <row r="33" spans="1:16" ht="15.75">
      <c r="A33" s="118">
        <v>23</v>
      </c>
      <c r="B33" s="120" t="s">
        <v>206</v>
      </c>
      <c r="C33" s="212">
        <f t="shared" si="1"/>
        <v>8</v>
      </c>
      <c r="D33" s="215">
        <v>4</v>
      </c>
      <c r="E33" s="215">
        <v>4</v>
      </c>
      <c r="F33" s="212">
        <f>G33+H33</f>
        <v>11</v>
      </c>
      <c r="G33" s="215">
        <v>6</v>
      </c>
      <c r="H33" s="215">
        <v>5</v>
      </c>
      <c r="I33" s="212">
        <f t="shared" si="3"/>
        <v>12485</v>
      </c>
      <c r="J33" s="215">
        <f>2800+541+151+3849+3177+995</f>
        <v>11513</v>
      </c>
      <c r="K33" s="215">
        <f>848+3+121</f>
        <v>972</v>
      </c>
      <c r="L33" s="217">
        <v>2368686</v>
      </c>
      <c r="M33" s="217">
        <v>4158</v>
      </c>
      <c r="N33" s="217">
        <v>672963</v>
      </c>
      <c r="O33" s="211"/>
      <c r="P33" s="62"/>
    </row>
    <row r="34" spans="1:15" ht="15.75">
      <c r="A34" s="118">
        <v>24</v>
      </c>
      <c r="B34" s="120" t="s">
        <v>207</v>
      </c>
      <c r="C34" s="212">
        <f t="shared" si="1"/>
        <v>103</v>
      </c>
      <c r="D34" s="215">
        <v>10</v>
      </c>
      <c r="E34" s="215">
        <v>93</v>
      </c>
      <c r="F34" s="212">
        <f>G34+H34</f>
        <v>315</v>
      </c>
      <c r="G34" s="215">
        <v>69</v>
      </c>
      <c r="H34" s="215">
        <v>246</v>
      </c>
      <c r="I34" s="295">
        <v>217306</v>
      </c>
      <c r="J34" s="295"/>
      <c r="K34" s="295"/>
      <c r="L34" s="215">
        <v>101200000</v>
      </c>
      <c r="M34" s="215">
        <v>24800000</v>
      </c>
      <c r="N34" s="215">
        <v>20300000</v>
      </c>
      <c r="O34" s="211"/>
    </row>
    <row r="35" spans="1:15" ht="15.75">
      <c r="A35" s="118">
        <v>25</v>
      </c>
      <c r="B35" s="120" t="s">
        <v>208</v>
      </c>
      <c r="C35" s="212">
        <f t="shared" si="1"/>
        <v>7</v>
      </c>
      <c r="D35" s="215">
        <v>2</v>
      </c>
      <c r="E35" s="215">
        <v>5</v>
      </c>
      <c r="F35" s="212">
        <f t="shared" si="2"/>
        <v>11</v>
      </c>
      <c r="G35" s="215">
        <v>4</v>
      </c>
      <c r="H35" s="215">
        <v>7</v>
      </c>
      <c r="I35" s="212">
        <f t="shared" si="3"/>
        <v>7448</v>
      </c>
      <c r="J35" s="215">
        <f>1462+154+96+4242+1056+369</f>
        <v>7379</v>
      </c>
      <c r="K35" s="215">
        <f>66+3</f>
        <v>69</v>
      </c>
      <c r="L35" s="313">
        <v>2343094535</v>
      </c>
      <c r="M35" s="215">
        <v>11060</v>
      </c>
      <c r="N35" s="215">
        <v>489676.447</v>
      </c>
      <c r="O35" s="211"/>
    </row>
    <row r="36" spans="1:15" ht="15.75">
      <c r="A36" s="118">
        <v>26</v>
      </c>
      <c r="B36" s="120" t="s">
        <v>209</v>
      </c>
      <c r="C36" s="212">
        <f t="shared" si="1"/>
        <v>17</v>
      </c>
      <c r="D36" s="215">
        <v>2</v>
      </c>
      <c r="E36" s="215">
        <v>15</v>
      </c>
      <c r="F36" s="212">
        <f t="shared" si="2"/>
        <v>28</v>
      </c>
      <c r="G36" s="215">
        <v>10</v>
      </c>
      <c r="H36" s="215">
        <v>18</v>
      </c>
      <c r="I36" s="212">
        <f t="shared" si="3"/>
        <v>49174</v>
      </c>
      <c r="J36" s="215">
        <f>13698+2658+308+24806+2696+2794</f>
        <v>46960</v>
      </c>
      <c r="K36" s="215">
        <f>2188+4+22</f>
        <v>2214</v>
      </c>
      <c r="L36" s="215">
        <v>13159477</v>
      </c>
      <c r="M36" s="215">
        <v>320010</v>
      </c>
      <c r="N36" s="215">
        <v>3311292</v>
      </c>
      <c r="O36" s="211"/>
    </row>
    <row r="37" spans="1:15" ht="15.75">
      <c r="A37" s="118">
        <v>27</v>
      </c>
      <c r="B37" s="120" t="s">
        <v>210</v>
      </c>
      <c r="C37" s="212">
        <f t="shared" si="1"/>
        <v>18</v>
      </c>
      <c r="D37" s="215">
        <v>5</v>
      </c>
      <c r="E37" s="215">
        <v>13</v>
      </c>
      <c r="F37" s="212">
        <f t="shared" si="2"/>
        <v>40</v>
      </c>
      <c r="G37" s="215">
        <v>18</v>
      </c>
      <c r="H37" s="215">
        <v>22</v>
      </c>
      <c r="I37" s="212">
        <f t="shared" si="3"/>
        <v>50239</v>
      </c>
      <c r="J37" s="215">
        <f>11982+10930+780+14400+4765+5491</f>
        <v>48348</v>
      </c>
      <c r="K37" s="215">
        <f>18+1476+397</f>
        <v>1891</v>
      </c>
      <c r="L37" s="215">
        <v>13055558</v>
      </c>
      <c r="M37" s="218">
        <v>824025</v>
      </c>
      <c r="N37" s="215">
        <v>3653736</v>
      </c>
      <c r="O37" s="211"/>
    </row>
    <row r="38" spans="1:15" ht="15.75">
      <c r="A38" s="118">
        <v>28</v>
      </c>
      <c r="B38" s="120" t="s">
        <v>211</v>
      </c>
      <c r="C38" s="212">
        <f t="shared" si="1"/>
        <v>5</v>
      </c>
      <c r="D38" s="215">
        <v>1</v>
      </c>
      <c r="E38" s="215">
        <v>4</v>
      </c>
      <c r="F38" s="212">
        <f t="shared" si="2"/>
        <v>9</v>
      </c>
      <c r="G38" s="215">
        <v>4</v>
      </c>
      <c r="H38" s="215">
        <v>5</v>
      </c>
      <c r="I38" s="212">
        <f t="shared" si="3"/>
        <v>9270</v>
      </c>
      <c r="J38" s="215">
        <f>3106+2161+176+2228+569+417</f>
        <v>8657</v>
      </c>
      <c r="K38" s="215">
        <f>595+3+2+13</f>
        <v>613</v>
      </c>
      <c r="L38" s="215">
        <v>2193756</v>
      </c>
      <c r="M38" s="215">
        <v>286812</v>
      </c>
      <c r="N38" s="215">
        <v>702445</v>
      </c>
      <c r="O38" s="211"/>
    </row>
    <row r="39" spans="1:15" ht="15.75">
      <c r="A39" s="118">
        <v>29</v>
      </c>
      <c r="B39" s="120" t="s">
        <v>212</v>
      </c>
      <c r="C39" s="212">
        <f t="shared" si="1"/>
        <v>4</v>
      </c>
      <c r="D39" s="215"/>
      <c r="E39" s="215">
        <v>4</v>
      </c>
      <c r="F39" s="212">
        <f t="shared" si="2"/>
        <v>6</v>
      </c>
      <c r="G39" s="215">
        <v>3</v>
      </c>
      <c r="H39" s="215">
        <v>3</v>
      </c>
      <c r="I39" s="212">
        <f t="shared" si="3"/>
        <v>7343</v>
      </c>
      <c r="J39" s="215">
        <f>2024+839+498+1791+986+797</f>
        <v>6935</v>
      </c>
      <c r="K39" s="215">
        <f>375+1+32</f>
        <v>408</v>
      </c>
      <c r="L39" s="215">
        <v>1620254</v>
      </c>
      <c r="M39" s="215">
        <v>59915</v>
      </c>
      <c r="N39" s="215">
        <v>563015</v>
      </c>
      <c r="O39" s="211"/>
    </row>
    <row r="40" spans="1:16" ht="15.75">
      <c r="A40" s="118">
        <v>30</v>
      </c>
      <c r="B40" s="120" t="s">
        <v>213</v>
      </c>
      <c r="C40" s="212">
        <f t="shared" si="1"/>
        <v>11</v>
      </c>
      <c r="D40" s="215">
        <v>2</v>
      </c>
      <c r="E40" s="215">
        <v>9</v>
      </c>
      <c r="F40" s="212">
        <f t="shared" si="2"/>
        <v>15</v>
      </c>
      <c r="G40" s="215">
        <v>3</v>
      </c>
      <c r="H40" s="215">
        <v>12</v>
      </c>
      <c r="I40" s="212">
        <f t="shared" si="3"/>
        <v>18875</v>
      </c>
      <c r="J40" s="215">
        <f>3801+924+92+9404+3512+237</f>
        <v>17970</v>
      </c>
      <c r="K40" s="215">
        <f>886+2+3+14</f>
        <v>905</v>
      </c>
      <c r="L40" s="215">
        <v>5185311</v>
      </c>
      <c r="M40" s="215">
        <v>22000</v>
      </c>
      <c r="N40" s="215">
        <v>730650</v>
      </c>
      <c r="O40" s="211"/>
      <c r="P40" s="30"/>
    </row>
    <row r="41" spans="1:15" ht="15.75">
      <c r="A41" s="118">
        <v>31</v>
      </c>
      <c r="B41" s="120" t="s">
        <v>214</v>
      </c>
      <c r="C41" s="212">
        <f t="shared" si="1"/>
        <v>9</v>
      </c>
      <c r="D41" s="215">
        <v>1</v>
      </c>
      <c r="E41" s="215">
        <v>8</v>
      </c>
      <c r="F41" s="212">
        <f t="shared" si="2"/>
        <v>15</v>
      </c>
      <c r="G41" s="215">
        <v>5</v>
      </c>
      <c r="H41" s="215">
        <v>10</v>
      </c>
      <c r="I41" s="212">
        <f t="shared" si="3"/>
        <v>46819</v>
      </c>
      <c r="J41" s="215">
        <f>7186+9141+912+14074+7810+4912</f>
        <v>44035</v>
      </c>
      <c r="K41" s="215">
        <f>2323+185+276</f>
        <v>2784</v>
      </c>
      <c r="L41" s="215">
        <v>10211060</v>
      </c>
      <c r="M41" s="215">
        <v>501656</v>
      </c>
      <c r="N41" s="215">
        <v>2775044</v>
      </c>
      <c r="O41" s="211"/>
    </row>
    <row r="42" spans="1:15" ht="15.75">
      <c r="A42" s="118">
        <v>32</v>
      </c>
      <c r="B42" s="120" t="s">
        <v>215</v>
      </c>
      <c r="C42" s="212">
        <f t="shared" si="1"/>
        <v>10</v>
      </c>
      <c r="D42" s="215">
        <v>2</v>
      </c>
      <c r="E42" s="215">
        <v>8</v>
      </c>
      <c r="F42" s="212">
        <f t="shared" si="2"/>
        <v>15</v>
      </c>
      <c r="G42" s="215">
        <v>6</v>
      </c>
      <c r="H42" s="215">
        <v>9</v>
      </c>
      <c r="I42" s="212">
        <f t="shared" si="3"/>
        <v>36663</v>
      </c>
      <c r="J42" s="215">
        <f>9247+1458+465+21273+2525+1019</f>
        <v>35987</v>
      </c>
      <c r="K42" s="215">
        <f>487+78+111</f>
        <v>676</v>
      </c>
      <c r="L42" s="215">
        <v>9930733</v>
      </c>
      <c r="M42" s="215">
        <v>366636</v>
      </c>
      <c r="N42" s="215">
        <v>2611268</v>
      </c>
      <c r="O42" s="211"/>
    </row>
    <row r="43" spans="1:16" ht="15.75">
      <c r="A43" s="118">
        <v>33</v>
      </c>
      <c r="B43" s="120" t="s">
        <v>216</v>
      </c>
      <c r="C43" s="212">
        <f t="shared" si="1"/>
        <v>4</v>
      </c>
      <c r="D43" s="215">
        <v>2</v>
      </c>
      <c r="E43" s="215">
        <v>2</v>
      </c>
      <c r="F43" s="212">
        <f t="shared" si="2"/>
        <v>4</v>
      </c>
      <c r="G43" s="215">
        <v>2</v>
      </c>
      <c r="H43" s="215">
        <v>2</v>
      </c>
      <c r="I43" s="212">
        <f t="shared" si="3"/>
        <v>8988</v>
      </c>
      <c r="J43" s="217">
        <f>2456+886+49+4998+220+181</f>
        <v>8790</v>
      </c>
      <c r="K43" s="217">
        <f>114+50+0+34</f>
        <v>198</v>
      </c>
      <c r="L43" s="215">
        <v>2471123</v>
      </c>
      <c r="M43" s="215">
        <v>66645</v>
      </c>
      <c r="N43" s="215">
        <v>1189274</v>
      </c>
      <c r="O43" s="211"/>
      <c r="P43" s="62"/>
    </row>
    <row r="44" spans="1:15" ht="15.75">
      <c r="A44" s="118">
        <v>34</v>
      </c>
      <c r="B44" s="120" t="s">
        <v>217</v>
      </c>
      <c r="C44" s="212">
        <f t="shared" si="1"/>
        <v>1</v>
      </c>
      <c r="D44" s="215">
        <v>1</v>
      </c>
      <c r="E44" s="215"/>
      <c r="F44" s="212">
        <f t="shared" si="2"/>
        <v>2</v>
      </c>
      <c r="G44" s="215">
        <v>2</v>
      </c>
      <c r="H44" s="215"/>
      <c r="I44" s="212">
        <f t="shared" si="3"/>
        <v>1919</v>
      </c>
      <c r="J44" s="215">
        <f>594+75+4+1095+90+48</f>
        <v>1906</v>
      </c>
      <c r="K44" s="215">
        <f>12+0+1+0</f>
        <v>13</v>
      </c>
      <c r="L44" s="215">
        <v>797309</v>
      </c>
      <c r="M44" s="215"/>
      <c r="N44" s="215">
        <v>398654</v>
      </c>
      <c r="O44" s="211"/>
    </row>
    <row r="45" spans="1:15" ht="15.75">
      <c r="A45" s="118">
        <v>35</v>
      </c>
      <c r="B45" s="120" t="s">
        <v>218</v>
      </c>
      <c r="C45" s="212">
        <f t="shared" si="1"/>
        <v>18</v>
      </c>
      <c r="D45" s="215">
        <v>4</v>
      </c>
      <c r="E45" s="215">
        <v>14</v>
      </c>
      <c r="F45" s="212">
        <f t="shared" si="2"/>
        <v>35</v>
      </c>
      <c r="G45" s="215">
        <v>10</v>
      </c>
      <c r="H45" s="215">
        <v>25</v>
      </c>
      <c r="I45" s="212">
        <f t="shared" si="3"/>
        <v>64779</v>
      </c>
      <c r="J45" s="215">
        <f>14548+1081+721+36915+6064+2604</f>
        <v>61933</v>
      </c>
      <c r="K45" s="215">
        <f>1729+394+0+723</f>
        <v>2846</v>
      </c>
      <c r="L45" s="215">
        <v>15094548</v>
      </c>
      <c r="M45" s="215">
        <v>802593</v>
      </c>
      <c r="N45" s="215">
        <v>3048748</v>
      </c>
      <c r="O45" s="211"/>
    </row>
    <row r="46" spans="1:20" ht="15.75">
      <c r="A46" s="118">
        <v>36</v>
      </c>
      <c r="B46" s="121" t="s">
        <v>219</v>
      </c>
      <c r="C46" s="212">
        <f t="shared" si="1"/>
        <v>3</v>
      </c>
      <c r="D46" s="215">
        <v>1</v>
      </c>
      <c r="E46" s="215">
        <v>2</v>
      </c>
      <c r="F46" s="212">
        <f t="shared" si="2"/>
        <v>5</v>
      </c>
      <c r="G46" s="215">
        <v>3</v>
      </c>
      <c r="H46" s="215">
        <v>2</v>
      </c>
      <c r="I46" s="212">
        <f t="shared" si="3"/>
        <v>6257</v>
      </c>
      <c r="J46" s="216">
        <f>2085+701+98+2133+416+532</f>
        <v>5965</v>
      </c>
      <c r="K46" s="216">
        <f>288+0+0+4</f>
        <v>292</v>
      </c>
      <c r="L46" s="295">
        <v>2113854000</v>
      </c>
      <c r="M46" s="295">
        <v>23190000</v>
      </c>
      <c r="N46" s="295">
        <v>842586600</v>
      </c>
      <c r="O46" s="211"/>
      <c r="S46" s="207"/>
      <c r="T46" s="207"/>
    </row>
    <row r="47" spans="1:20" ht="15.75">
      <c r="A47" s="118">
        <v>37</v>
      </c>
      <c r="B47" s="121" t="s">
        <v>220</v>
      </c>
      <c r="C47" s="212">
        <f t="shared" si="1"/>
        <v>6</v>
      </c>
      <c r="D47" s="215">
        <v>1</v>
      </c>
      <c r="E47" s="215">
        <v>5</v>
      </c>
      <c r="F47" s="212">
        <f t="shared" si="2"/>
        <v>7</v>
      </c>
      <c r="G47" s="215">
        <v>1</v>
      </c>
      <c r="H47" s="215">
        <v>6</v>
      </c>
      <c r="I47" s="212">
        <f t="shared" si="3"/>
        <v>8755</v>
      </c>
      <c r="J47" s="215">
        <f>1862+205+249+3483+1550+1169</f>
        <v>8518</v>
      </c>
      <c r="K47" s="215">
        <f>227+0+0+10</f>
        <v>237</v>
      </c>
      <c r="L47" s="215">
        <v>2892995</v>
      </c>
      <c r="M47" s="215">
        <v>222732</v>
      </c>
      <c r="N47" s="215">
        <v>621715</v>
      </c>
      <c r="O47" s="211"/>
      <c r="S47" s="207"/>
      <c r="T47" s="207"/>
    </row>
    <row r="48" spans="1:15" ht="15.75">
      <c r="A48" s="118">
        <v>38</v>
      </c>
      <c r="B48" s="121" t="s">
        <v>221</v>
      </c>
      <c r="C48" s="212">
        <f t="shared" si="1"/>
        <v>26</v>
      </c>
      <c r="D48" s="215">
        <v>4</v>
      </c>
      <c r="E48" s="215">
        <v>22</v>
      </c>
      <c r="F48" s="212">
        <f t="shared" si="2"/>
        <v>36</v>
      </c>
      <c r="G48" s="215">
        <v>10</v>
      </c>
      <c r="H48" s="215">
        <v>26</v>
      </c>
      <c r="I48" s="212">
        <f t="shared" si="3"/>
        <v>103961</v>
      </c>
      <c r="J48" s="216">
        <f>34750+8840+1777+43726+7723+3173</f>
        <v>99989</v>
      </c>
      <c r="K48" s="216">
        <f>3455+154+5+358</f>
        <v>3972</v>
      </c>
      <c r="L48" s="215">
        <v>19184378</v>
      </c>
      <c r="M48" s="215">
        <v>1322730</v>
      </c>
      <c r="N48" s="215">
        <v>5374646</v>
      </c>
      <c r="O48" s="211"/>
    </row>
    <row r="49" spans="1:15" ht="15.75">
      <c r="A49" s="118">
        <v>39</v>
      </c>
      <c r="B49" s="121" t="s">
        <v>222</v>
      </c>
      <c r="C49" s="212">
        <f t="shared" si="1"/>
        <v>10</v>
      </c>
      <c r="D49" s="215">
        <v>1</v>
      </c>
      <c r="E49" s="215">
        <v>9</v>
      </c>
      <c r="F49" s="212">
        <f t="shared" si="2"/>
        <v>14</v>
      </c>
      <c r="G49" s="215">
        <v>2</v>
      </c>
      <c r="H49" s="215">
        <v>12</v>
      </c>
      <c r="I49" s="212">
        <f t="shared" si="3"/>
        <v>11028</v>
      </c>
      <c r="J49" s="216">
        <f>4439+103+234+4292+1149+159</f>
        <v>10376</v>
      </c>
      <c r="K49" s="216">
        <f>632+20+0+0</f>
        <v>652</v>
      </c>
      <c r="L49" s="215">
        <v>3101737</v>
      </c>
      <c r="M49" s="215"/>
      <c r="N49" s="215">
        <v>753086</v>
      </c>
      <c r="O49" s="211"/>
    </row>
    <row r="50" spans="1:15" ht="15.75">
      <c r="A50" s="118">
        <v>40</v>
      </c>
      <c r="B50" s="121" t="s">
        <v>223</v>
      </c>
      <c r="C50" s="212">
        <f t="shared" si="1"/>
        <v>24</v>
      </c>
      <c r="D50" s="215">
        <v>2</v>
      </c>
      <c r="E50" s="215">
        <v>22</v>
      </c>
      <c r="F50" s="212">
        <f t="shared" si="2"/>
        <v>31</v>
      </c>
      <c r="G50" s="215">
        <v>5</v>
      </c>
      <c r="H50" s="215">
        <v>26</v>
      </c>
      <c r="I50" s="212">
        <f t="shared" si="3"/>
        <v>33903</v>
      </c>
      <c r="J50" s="216">
        <f>7565+4265+806+14087+3833+1646</f>
        <v>32202</v>
      </c>
      <c r="K50" s="216">
        <f>1493+84+44+80</f>
        <v>1701</v>
      </c>
      <c r="L50" s="215">
        <v>8550941</v>
      </c>
      <c r="M50" s="215">
        <v>131980</v>
      </c>
      <c r="N50" s="215">
        <v>2764873</v>
      </c>
      <c r="O50" s="211"/>
    </row>
    <row r="51" spans="1:15" ht="15.75">
      <c r="A51" s="118">
        <v>41</v>
      </c>
      <c r="B51" s="121" t="s">
        <v>224</v>
      </c>
      <c r="C51" s="212">
        <f t="shared" si="1"/>
        <v>6</v>
      </c>
      <c r="D51" s="215">
        <v>1</v>
      </c>
      <c r="E51" s="215">
        <v>5</v>
      </c>
      <c r="F51" s="212">
        <f t="shared" si="2"/>
        <v>9</v>
      </c>
      <c r="G51" s="215">
        <v>2</v>
      </c>
      <c r="H51" s="215">
        <v>7</v>
      </c>
      <c r="I51" s="212">
        <f t="shared" si="3"/>
        <v>6609</v>
      </c>
      <c r="J51" s="216">
        <f>45+205+88+5968+210+36</f>
        <v>6552</v>
      </c>
      <c r="K51" s="216">
        <f>31+24+2+0</f>
        <v>57</v>
      </c>
      <c r="L51" s="215">
        <v>2773712</v>
      </c>
      <c r="M51" s="215">
        <v>4000</v>
      </c>
      <c r="N51" s="215">
        <v>267995</v>
      </c>
      <c r="O51" s="211"/>
    </row>
    <row r="52" spans="1:15" ht="15.75">
      <c r="A52" s="118">
        <v>42</v>
      </c>
      <c r="B52" s="121" t="s">
        <v>225</v>
      </c>
      <c r="C52" s="212">
        <f t="shared" si="1"/>
        <v>5</v>
      </c>
      <c r="D52" s="215">
        <v>1</v>
      </c>
      <c r="E52" s="215">
        <v>4</v>
      </c>
      <c r="F52" s="212">
        <f t="shared" si="2"/>
        <v>7</v>
      </c>
      <c r="G52" s="215">
        <v>2</v>
      </c>
      <c r="H52" s="215">
        <v>5</v>
      </c>
      <c r="I52" s="212">
        <f t="shared" si="3"/>
        <v>15447</v>
      </c>
      <c r="J52" s="216">
        <f>5119+922+211+6335+1459+493</f>
        <v>14539</v>
      </c>
      <c r="K52" s="216">
        <f>854+4+4+46</f>
        <v>908</v>
      </c>
      <c r="L52" s="215">
        <v>2582280</v>
      </c>
      <c r="M52" s="215">
        <v>43798</v>
      </c>
      <c r="N52" s="215">
        <v>501258</v>
      </c>
      <c r="O52" s="211"/>
    </row>
    <row r="53" spans="1:15" ht="15.75">
      <c r="A53" s="118">
        <v>43</v>
      </c>
      <c r="B53" s="121" t="s">
        <v>226</v>
      </c>
      <c r="C53" s="212">
        <f t="shared" si="1"/>
        <v>15</v>
      </c>
      <c r="D53" s="215">
        <v>2</v>
      </c>
      <c r="E53" s="215">
        <v>13</v>
      </c>
      <c r="F53" s="212">
        <f t="shared" si="2"/>
        <v>19</v>
      </c>
      <c r="G53" s="215">
        <v>5</v>
      </c>
      <c r="H53" s="215">
        <v>14</v>
      </c>
      <c r="I53" s="212">
        <f t="shared" si="3"/>
        <v>19172</v>
      </c>
      <c r="J53" s="215">
        <f>3810+1043+161+6904+4188+2450</f>
        <v>18556</v>
      </c>
      <c r="K53" s="215">
        <f>461+8+1+146</f>
        <v>616</v>
      </c>
      <c r="L53" s="215">
        <v>3310080</v>
      </c>
      <c r="M53" s="215">
        <v>283183</v>
      </c>
      <c r="N53" s="215">
        <v>574458</v>
      </c>
      <c r="O53" s="211"/>
    </row>
    <row r="54" spans="1:15" ht="15.75">
      <c r="A54" s="118">
        <v>44</v>
      </c>
      <c r="B54" s="121" t="s">
        <v>227</v>
      </c>
      <c r="C54" s="212">
        <f t="shared" si="1"/>
        <v>6</v>
      </c>
      <c r="D54" s="215">
        <v>1</v>
      </c>
      <c r="E54" s="215">
        <v>5</v>
      </c>
      <c r="F54" s="212">
        <f t="shared" si="2"/>
        <v>7</v>
      </c>
      <c r="G54" s="215">
        <v>2</v>
      </c>
      <c r="H54" s="215">
        <v>5</v>
      </c>
      <c r="I54" s="212">
        <f t="shared" si="3"/>
        <v>5034</v>
      </c>
      <c r="J54" s="216">
        <f>1767+609+179+1481+564+247</f>
        <v>4847</v>
      </c>
      <c r="K54" s="216">
        <f>174+13+0+0</f>
        <v>187</v>
      </c>
      <c r="L54" s="215">
        <v>2065169</v>
      </c>
      <c r="M54" s="215">
        <v>3100</v>
      </c>
      <c r="N54" s="215">
        <v>305541</v>
      </c>
      <c r="O54" s="211"/>
    </row>
    <row r="55" spans="1:15" s="95" customFormat="1" ht="15.75">
      <c r="A55" s="118">
        <v>45</v>
      </c>
      <c r="B55" s="122" t="s">
        <v>233</v>
      </c>
      <c r="C55" s="212">
        <f t="shared" si="1"/>
        <v>3</v>
      </c>
      <c r="D55" s="215">
        <v>1</v>
      </c>
      <c r="E55" s="215">
        <v>2</v>
      </c>
      <c r="F55" s="212">
        <f t="shared" si="2"/>
        <v>6</v>
      </c>
      <c r="G55" s="215">
        <v>3</v>
      </c>
      <c r="H55" s="215">
        <v>3</v>
      </c>
      <c r="I55" s="212">
        <f t="shared" si="3"/>
        <v>13767</v>
      </c>
      <c r="J55" s="215">
        <f>3425+93+50+6882+1642+984</f>
        <v>13076</v>
      </c>
      <c r="K55" s="215">
        <f>537+15+1+138</f>
        <v>691</v>
      </c>
      <c r="L55" s="215">
        <v>3920718.269</v>
      </c>
      <c r="M55" s="215">
        <v>355595</v>
      </c>
      <c r="N55" s="215">
        <v>884456.931</v>
      </c>
      <c r="O55" s="211"/>
    </row>
    <row r="56" spans="1:15" s="95" customFormat="1" ht="15.75">
      <c r="A56" s="118">
        <v>46</v>
      </c>
      <c r="B56" s="122" t="s">
        <v>234</v>
      </c>
      <c r="C56" s="212">
        <f t="shared" si="1"/>
        <v>9</v>
      </c>
      <c r="D56" s="215">
        <v>2</v>
      </c>
      <c r="E56" s="215">
        <v>7</v>
      </c>
      <c r="F56" s="212">
        <f t="shared" si="2"/>
        <v>11</v>
      </c>
      <c r="G56" s="215">
        <v>3</v>
      </c>
      <c r="H56" s="215">
        <v>8</v>
      </c>
      <c r="I56" s="212">
        <f t="shared" si="3"/>
        <v>25490</v>
      </c>
      <c r="J56" s="215">
        <f>8855+1623+1155+7970+2453+1048</f>
        <v>23104</v>
      </c>
      <c r="K56" s="215">
        <f>2197+20+40+129</f>
        <v>2386</v>
      </c>
      <c r="L56" s="215">
        <v>4542214</v>
      </c>
      <c r="M56" s="215">
        <v>540135</v>
      </c>
      <c r="N56" s="215">
        <v>893353</v>
      </c>
      <c r="O56" s="211"/>
    </row>
    <row r="57" spans="1:15" s="95" customFormat="1" ht="15.75">
      <c r="A57" s="118">
        <v>47</v>
      </c>
      <c r="B57" s="122" t="s">
        <v>235</v>
      </c>
      <c r="C57" s="212">
        <f t="shared" si="1"/>
        <v>3</v>
      </c>
      <c r="D57" s="215">
        <v>1</v>
      </c>
      <c r="E57" s="215">
        <v>2</v>
      </c>
      <c r="F57" s="212">
        <f t="shared" si="2"/>
        <v>5</v>
      </c>
      <c r="G57" s="215">
        <v>3</v>
      </c>
      <c r="H57" s="215">
        <v>2</v>
      </c>
      <c r="I57" s="212">
        <f t="shared" si="3"/>
        <v>7891</v>
      </c>
      <c r="J57" s="215">
        <f>2017+1690+51+2941+754+204</f>
        <v>7657</v>
      </c>
      <c r="K57" s="215">
        <f>187+6+0+41</f>
        <v>234</v>
      </c>
      <c r="L57" s="215">
        <v>2914987</v>
      </c>
      <c r="M57" s="215">
        <v>575120</v>
      </c>
      <c r="N57" s="215">
        <v>877925</v>
      </c>
      <c r="O57" s="211"/>
    </row>
    <row r="58" spans="1:15" s="95" customFormat="1" ht="15.75">
      <c r="A58" s="118">
        <v>48</v>
      </c>
      <c r="B58" s="122" t="s">
        <v>236</v>
      </c>
      <c r="C58" s="212">
        <f t="shared" si="1"/>
        <v>13</v>
      </c>
      <c r="D58" s="215">
        <v>3</v>
      </c>
      <c r="E58" s="215">
        <v>10</v>
      </c>
      <c r="F58" s="212">
        <f t="shared" si="2"/>
        <v>30</v>
      </c>
      <c r="G58" s="215">
        <v>9</v>
      </c>
      <c r="H58" s="215">
        <v>21</v>
      </c>
      <c r="I58" s="212">
        <f t="shared" si="3"/>
        <v>29330</v>
      </c>
      <c r="J58" s="215">
        <f>7932+1177+643+11569+4832+1903</f>
        <v>28056</v>
      </c>
      <c r="K58" s="215">
        <f>872+4+3+395</f>
        <v>1274</v>
      </c>
      <c r="L58" s="215">
        <v>12590051</v>
      </c>
      <c r="M58" s="215">
        <v>1341987</v>
      </c>
      <c r="N58" s="215">
        <v>3350244</v>
      </c>
      <c r="O58" s="211"/>
    </row>
    <row r="59" spans="1:15" s="95" customFormat="1" ht="15.75">
      <c r="A59" s="118">
        <v>49</v>
      </c>
      <c r="B59" s="122" t="s">
        <v>237</v>
      </c>
      <c r="C59" s="212">
        <f t="shared" si="1"/>
        <v>5</v>
      </c>
      <c r="D59" s="215">
        <v>2</v>
      </c>
      <c r="E59" s="215">
        <v>3</v>
      </c>
      <c r="F59" s="212">
        <f t="shared" si="2"/>
        <v>7</v>
      </c>
      <c r="G59" s="215">
        <v>3</v>
      </c>
      <c r="H59" s="215">
        <v>4</v>
      </c>
      <c r="I59" s="212">
        <f t="shared" si="3"/>
        <v>11468</v>
      </c>
      <c r="J59" s="215">
        <f>2199+1016+247+6846+500+322</f>
        <v>11130</v>
      </c>
      <c r="K59" s="215">
        <f>307+18+1+12</f>
        <v>338</v>
      </c>
      <c r="L59" s="215">
        <v>1903641</v>
      </c>
      <c r="M59" s="215">
        <v>139080</v>
      </c>
      <c r="N59" s="215">
        <v>765392</v>
      </c>
      <c r="O59" s="211"/>
    </row>
    <row r="60" spans="1:15" s="95" customFormat="1" ht="15.75">
      <c r="A60" s="118">
        <v>50</v>
      </c>
      <c r="B60" s="122" t="s">
        <v>238</v>
      </c>
      <c r="C60" s="212">
        <f t="shared" si="1"/>
        <v>7</v>
      </c>
      <c r="D60" s="215">
        <v>1</v>
      </c>
      <c r="E60" s="215">
        <v>6</v>
      </c>
      <c r="F60" s="212">
        <f t="shared" si="2"/>
        <v>9</v>
      </c>
      <c r="G60" s="215">
        <v>2</v>
      </c>
      <c r="H60" s="215">
        <v>7</v>
      </c>
      <c r="I60" s="212">
        <f t="shared" si="3"/>
        <v>15800</v>
      </c>
      <c r="J60" s="215">
        <f>3941+1560+252+7752+856+814</f>
        <v>15175</v>
      </c>
      <c r="K60" s="215">
        <f>472+15+3+135</f>
        <v>625</v>
      </c>
      <c r="L60" s="215">
        <v>3385679.148</v>
      </c>
      <c r="M60" s="215">
        <v>543592</v>
      </c>
      <c r="N60" s="215">
        <v>422943.354</v>
      </c>
      <c r="O60" s="211"/>
    </row>
    <row r="61" spans="1:15" s="95" customFormat="1" ht="15.75">
      <c r="A61" s="118">
        <v>51</v>
      </c>
      <c r="B61" s="123" t="s">
        <v>239</v>
      </c>
      <c r="C61" s="212">
        <f t="shared" si="1"/>
        <v>7</v>
      </c>
      <c r="D61" s="215">
        <v>3</v>
      </c>
      <c r="E61" s="215">
        <v>4</v>
      </c>
      <c r="F61" s="212">
        <f t="shared" si="2"/>
        <v>10</v>
      </c>
      <c r="G61" s="215">
        <v>5</v>
      </c>
      <c r="H61" s="215">
        <v>5</v>
      </c>
      <c r="I61" s="212">
        <f t="shared" si="3"/>
        <v>11403</v>
      </c>
      <c r="J61" s="215">
        <f>1635+67+232+6814+1481+918</f>
        <v>11147</v>
      </c>
      <c r="K61" s="215">
        <f>229+24+1+2</f>
        <v>256</v>
      </c>
      <c r="L61" s="215">
        <v>3358900</v>
      </c>
      <c r="M61" s="342">
        <v>0</v>
      </c>
      <c r="N61" s="215">
        <v>1214082</v>
      </c>
      <c r="O61" s="211"/>
    </row>
    <row r="62" spans="1:15" s="95" customFormat="1" ht="15.75">
      <c r="A62" s="118">
        <v>52</v>
      </c>
      <c r="B62" s="123" t="s">
        <v>240</v>
      </c>
      <c r="C62" s="212">
        <f t="shared" si="1"/>
        <v>8</v>
      </c>
      <c r="D62" s="215">
        <v>3</v>
      </c>
      <c r="E62" s="215">
        <v>5</v>
      </c>
      <c r="F62" s="212">
        <f t="shared" si="2"/>
        <v>11</v>
      </c>
      <c r="G62" s="215">
        <v>6</v>
      </c>
      <c r="H62" s="215">
        <v>5</v>
      </c>
      <c r="I62" s="212">
        <f t="shared" si="3"/>
        <v>46132</v>
      </c>
      <c r="J62" s="215">
        <f>8430+1868+451+30043+1639+2019</f>
        <v>44450</v>
      </c>
      <c r="K62" s="215">
        <f>1429+103+12+138</f>
        <v>1682</v>
      </c>
      <c r="L62" s="215">
        <v>10162577</v>
      </c>
      <c r="M62" s="215">
        <v>1222452</v>
      </c>
      <c r="N62" s="215">
        <v>3832328</v>
      </c>
      <c r="O62" s="211"/>
    </row>
    <row r="63" spans="1:15" s="95" customFormat="1" ht="15.75">
      <c r="A63" s="118">
        <v>53</v>
      </c>
      <c r="B63" s="123" t="s">
        <v>241</v>
      </c>
      <c r="C63" s="212">
        <f t="shared" si="1"/>
        <v>6</v>
      </c>
      <c r="D63" s="215">
        <v>1</v>
      </c>
      <c r="E63" s="215">
        <v>5</v>
      </c>
      <c r="F63" s="212">
        <f t="shared" si="2"/>
        <v>10</v>
      </c>
      <c r="G63" s="215">
        <v>3</v>
      </c>
      <c r="H63" s="215">
        <v>7</v>
      </c>
      <c r="I63" s="212">
        <f t="shared" si="3"/>
        <v>8342</v>
      </c>
      <c r="J63" s="215">
        <f>1847+69+48+5451+413+145</f>
        <v>7973</v>
      </c>
      <c r="K63" s="215">
        <f>368+0+0+1</f>
        <v>369</v>
      </c>
      <c r="L63" s="215">
        <v>2196220.175</v>
      </c>
      <c r="M63" s="215">
        <v>84609.356</v>
      </c>
      <c r="N63" s="215">
        <v>744960.671</v>
      </c>
      <c r="O63" s="211"/>
    </row>
    <row r="64" spans="1:15" s="95" customFormat="1" ht="15.75">
      <c r="A64" s="118">
        <v>54</v>
      </c>
      <c r="B64" s="123" t="s">
        <v>242</v>
      </c>
      <c r="C64" s="212">
        <f t="shared" si="1"/>
        <v>7</v>
      </c>
      <c r="D64" s="215">
        <v>2</v>
      </c>
      <c r="E64" s="215">
        <v>5</v>
      </c>
      <c r="F64" s="212">
        <f t="shared" si="2"/>
        <v>10</v>
      </c>
      <c r="G64" s="215">
        <v>5</v>
      </c>
      <c r="H64" s="215">
        <v>5</v>
      </c>
      <c r="I64" s="212">
        <f t="shared" si="3"/>
        <v>10794</v>
      </c>
      <c r="J64" s="215">
        <f>1755+359+157+5871+1777+319</f>
        <v>10238</v>
      </c>
      <c r="K64" s="215">
        <f>503+19+0+34</f>
        <v>556</v>
      </c>
      <c r="L64" s="215">
        <v>2966301</v>
      </c>
      <c r="M64" s="215">
        <v>37985</v>
      </c>
      <c r="N64" s="215">
        <v>795568</v>
      </c>
      <c r="O64" s="211"/>
    </row>
    <row r="65" spans="1:15" s="95" customFormat="1" ht="15.75">
      <c r="A65" s="118">
        <v>55</v>
      </c>
      <c r="B65" s="123" t="s">
        <v>243</v>
      </c>
      <c r="C65" s="212">
        <f t="shared" si="1"/>
        <v>29</v>
      </c>
      <c r="D65" s="215">
        <v>3</v>
      </c>
      <c r="E65" s="215">
        <v>26</v>
      </c>
      <c r="F65" s="212">
        <f t="shared" si="2"/>
        <v>43</v>
      </c>
      <c r="G65" s="215">
        <v>6</v>
      </c>
      <c r="H65" s="215">
        <v>37</v>
      </c>
      <c r="I65" s="212">
        <f t="shared" si="3"/>
        <v>56014</v>
      </c>
      <c r="J65" s="215">
        <f>24282+1968+187+20101+3054+2432</f>
        <v>52024</v>
      </c>
      <c r="K65" s="215">
        <f>3727+4+3+256</f>
        <v>3990</v>
      </c>
      <c r="L65" s="215">
        <v>12032783</v>
      </c>
      <c r="M65" s="215">
        <v>799551</v>
      </c>
      <c r="N65" s="215">
        <v>2110049</v>
      </c>
      <c r="O65" s="211"/>
    </row>
    <row r="66" spans="1:15" s="95" customFormat="1" ht="15.75">
      <c r="A66" s="118">
        <v>56</v>
      </c>
      <c r="B66" s="123" t="s">
        <v>244</v>
      </c>
      <c r="C66" s="212">
        <f t="shared" si="1"/>
        <v>4</v>
      </c>
      <c r="D66" s="215">
        <v>2</v>
      </c>
      <c r="E66" s="215">
        <v>2</v>
      </c>
      <c r="F66" s="212">
        <f t="shared" si="2"/>
        <v>11</v>
      </c>
      <c r="G66" s="215">
        <v>7</v>
      </c>
      <c r="H66" s="215">
        <v>4</v>
      </c>
      <c r="I66" s="212">
        <f t="shared" si="3"/>
        <v>12650</v>
      </c>
      <c r="J66" s="215">
        <f>2886+979+185+5428+1834+561</f>
        <v>11873</v>
      </c>
      <c r="K66" s="215">
        <f>693+5+0+79</f>
        <v>777</v>
      </c>
      <c r="L66" s="215">
        <v>4610640</v>
      </c>
      <c r="M66" s="215">
        <v>667981</v>
      </c>
      <c r="N66" s="215">
        <v>1619393</v>
      </c>
      <c r="O66" s="211"/>
    </row>
    <row r="67" spans="1:15" s="95" customFormat="1" ht="15.75">
      <c r="A67" s="118">
        <v>57</v>
      </c>
      <c r="B67" s="123" t="s">
        <v>245</v>
      </c>
      <c r="C67" s="212">
        <f t="shared" si="1"/>
        <v>11</v>
      </c>
      <c r="D67" s="215">
        <v>3</v>
      </c>
      <c r="E67" s="215">
        <v>8</v>
      </c>
      <c r="F67" s="212">
        <f t="shared" si="2"/>
        <v>19</v>
      </c>
      <c r="G67" s="215">
        <v>8</v>
      </c>
      <c r="H67" s="215">
        <v>11</v>
      </c>
      <c r="I67" s="212">
        <f t="shared" si="3"/>
        <v>45835</v>
      </c>
      <c r="J67" s="215">
        <f>20188+895+1472+14712+3773+1855</f>
        <v>42895</v>
      </c>
      <c r="K67" s="215">
        <f>2682+60+1+197</f>
        <v>2940</v>
      </c>
      <c r="L67" s="215">
        <v>10970088.651</v>
      </c>
      <c r="M67" s="215">
        <v>1439.655</v>
      </c>
      <c r="N67" s="215">
        <v>5300781.116</v>
      </c>
      <c r="O67" s="211"/>
    </row>
    <row r="68" spans="1:15" s="95" customFormat="1" ht="15.75">
      <c r="A68" s="118">
        <v>58</v>
      </c>
      <c r="B68" s="123" t="s">
        <v>246</v>
      </c>
      <c r="C68" s="212">
        <f t="shared" si="1"/>
        <v>49</v>
      </c>
      <c r="D68" s="215">
        <v>7</v>
      </c>
      <c r="E68" s="215">
        <v>42</v>
      </c>
      <c r="F68" s="212">
        <f t="shared" si="2"/>
        <v>233</v>
      </c>
      <c r="G68" s="215">
        <v>63</v>
      </c>
      <c r="H68" s="215">
        <v>170</v>
      </c>
      <c r="I68" s="212">
        <f t="shared" si="3"/>
        <v>608402</v>
      </c>
      <c r="J68" s="215">
        <f>101577+159182+22388+81615+180689+37920</f>
        <v>583371</v>
      </c>
      <c r="K68" s="215">
        <f>17607+311+2+7111</f>
        <v>25031</v>
      </c>
      <c r="L68" s="215">
        <v>183159065</v>
      </c>
      <c r="M68" s="215">
        <v>29013155</v>
      </c>
      <c r="N68" s="215">
        <v>69052876</v>
      </c>
      <c r="O68" s="211"/>
    </row>
    <row r="69" spans="1:15" s="95" customFormat="1" ht="15.75">
      <c r="A69" s="118">
        <v>59</v>
      </c>
      <c r="B69" s="123" t="s">
        <v>247</v>
      </c>
      <c r="C69" s="212">
        <f t="shared" si="1"/>
        <v>5</v>
      </c>
      <c r="D69" s="215">
        <v>1</v>
      </c>
      <c r="E69" s="215">
        <v>4</v>
      </c>
      <c r="F69" s="212">
        <f t="shared" si="2"/>
        <v>7</v>
      </c>
      <c r="G69" s="215">
        <v>2</v>
      </c>
      <c r="H69" s="215">
        <v>5</v>
      </c>
      <c r="I69" s="212">
        <f t="shared" si="3"/>
        <v>14748</v>
      </c>
      <c r="J69" s="215">
        <f>2645+4513+194+4018+1336+1564</f>
        <v>14270</v>
      </c>
      <c r="K69" s="215">
        <f>408+60+10</f>
        <v>478</v>
      </c>
      <c r="L69" s="215">
        <v>2226762</v>
      </c>
      <c r="M69" s="215">
        <v>182879</v>
      </c>
      <c r="N69" s="215">
        <v>647947000</v>
      </c>
      <c r="O69" s="211"/>
    </row>
    <row r="70" spans="1:15" s="95" customFormat="1" ht="15.75">
      <c r="A70" s="118">
        <v>60</v>
      </c>
      <c r="B70" s="123" t="s">
        <v>248</v>
      </c>
      <c r="C70" s="212">
        <f t="shared" si="1"/>
        <v>2</v>
      </c>
      <c r="D70" s="215">
        <v>1</v>
      </c>
      <c r="E70" s="215">
        <v>1</v>
      </c>
      <c r="F70" s="212">
        <f t="shared" si="2"/>
        <v>4</v>
      </c>
      <c r="G70" s="215">
        <v>3</v>
      </c>
      <c r="H70" s="215">
        <v>1</v>
      </c>
      <c r="I70" s="212">
        <f t="shared" si="3"/>
        <v>5143</v>
      </c>
      <c r="J70" s="215">
        <f>971+673+205+2226+263+632</f>
        <v>4970</v>
      </c>
      <c r="K70" s="215">
        <f>163+5+5+0</f>
        <v>173</v>
      </c>
      <c r="L70" s="295">
        <v>1536720000</v>
      </c>
      <c r="M70" s="342">
        <v>0</v>
      </c>
      <c r="N70" s="295">
        <v>767860000</v>
      </c>
      <c r="O70" s="211"/>
    </row>
    <row r="71" spans="1:15" s="95" customFormat="1" ht="15.75">
      <c r="A71" s="118">
        <v>61</v>
      </c>
      <c r="B71" s="123" t="s">
        <v>249</v>
      </c>
      <c r="C71" s="212">
        <f t="shared" si="1"/>
        <v>6</v>
      </c>
      <c r="D71" s="215">
        <v>2</v>
      </c>
      <c r="E71" s="215">
        <v>4</v>
      </c>
      <c r="F71" s="212">
        <f t="shared" si="2"/>
        <v>9</v>
      </c>
      <c r="G71" s="215">
        <v>5</v>
      </c>
      <c r="H71" s="215">
        <v>4</v>
      </c>
      <c r="I71" s="212">
        <f t="shared" si="3"/>
        <v>23722</v>
      </c>
      <c r="J71" s="215">
        <f>6887+4224+721+5737+2265+3172</f>
        <v>23006</v>
      </c>
      <c r="K71" s="215">
        <f>679+16+6+15</f>
        <v>716</v>
      </c>
      <c r="L71" s="215">
        <v>4261082.015</v>
      </c>
      <c r="M71" s="342">
        <v>0</v>
      </c>
      <c r="N71" s="215">
        <v>1496045.346</v>
      </c>
      <c r="O71" s="211"/>
    </row>
    <row r="72" spans="1:15" s="95" customFormat="1" ht="18.75" customHeight="1">
      <c r="A72" s="118">
        <v>62</v>
      </c>
      <c r="B72" s="123" t="s">
        <v>250</v>
      </c>
      <c r="C72" s="212">
        <f t="shared" si="1"/>
        <v>22</v>
      </c>
      <c r="D72" s="215">
        <v>3</v>
      </c>
      <c r="E72" s="215">
        <v>19</v>
      </c>
      <c r="F72" s="212">
        <f t="shared" si="2"/>
        <v>33</v>
      </c>
      <c r="G72" s="215">
        <v>7</v>
      </c>
      <c r="H72" s="215">
        <v>26</v>
      </c>
      <c r="I72" s="295">
        <v>34316</v>
      </c>
      <c r="J72" s="295"/>
      <c r="K72" s="295"/>
      <c r="L72" s="295">
        <v>5018005358</v>
      </c>
      <c r="M72" s="342">
        <v>0</v>
      </c>
      <c r="N72" s="295">
        <v>165022378</v>
      </c>
      <c r="O72" s="211"/>
    </row>
    <row r="73" spans="1:15" s="95" customFormat="1" ht="15.75">
      <c r="A73" s="118">
        <v>63</v>
      </c>
      <c r="B73" s="123" t="s">
        <v>251</v>
      </c>
      <c r="C73" s="212">
        <f t="shared" si="1"/>
        <v>3</v>
      </c>
      <c r="D73" s="215">
        <v>2</v>
      </c>
      <c r="E73" s="215">
        <v>1</v>
      </c>
      <c r="F73" s="212">
        <f t="shared" si="2"/>
        <v>6</v>
      </c>
      <c r="G73" s="215">
        <v>5</v>
      </c>
      <c r="H73" s="215">
        <v>1</v>
      </c>
      <c r="I73" s="212">
        <f t="shared" si="3"/>
        <v>9278</v>
      </c>
      <c r="J73" s="215">
        <f>2781+93+105+3705+1040+839</f>
        <v>8563</v>
      </c>
      <c r="K73" s="215">
        <f>309+402+0+4</f>
        <v>715</v>
      </c>
      <c r="L73" s="215">
        <v>2006679</v>
      </c>
      <c r="M73" s="215">
        <v>27372</v>
      </c>
      <c r="N73" s="215">
        <v>952601</v>
      </c>
      <c r="O73" s="211"/>
    </row>
    <row r="74" ht="12.75" customHeight="1"/>
    <row r="75" spans="1:20" s="20" customFormat="1" ht="12.75" customHeight="1">
      <c r="A75"/>
      <c r="B75"/>
      <c r="C75"/>
      <c r="D75"/>
      <c r="E75"/>
      <c r="F75"/>
      <c r="G75"/>
      <c r="H75"/>
      <c r="I75"/>
      <c r="J75"/>
      <c r="K75"/>
      <c r="L75" s="202"/>
      <c r="M75" s="202"/>
      <c r="N75" s="202"/>
      <c r="O75" s="208"/>
      <c r="S75" s="208"/>
      <c r="T75" s="208"/>
    </row>
    <row r="76" spans="1:19" s="153" customFormat="1" ht="12.75">
      <c r="A76" s="43"/>
      <c r="B76" s="43" t="s">
        <v>254</v>
      </c>
      <c r="C76" s="32" t="s">
        <v>311</v>
      </c>
      <c r="D76" s="43"/>
      <c r="E76" s="43"/>
      <c r="F76" s="43"/>
      <c r="G76" s="43"/>
      <c r="H76" s="43"/>
      <c r="I76" s="43"/>
      <c r="J76" s="43"/>
      <c r="K76" s="151"/>
      <c r="L76" s="43"/>
      <c r="M76" s="43"/>
      <c r="N76" s="43"/>
      <c r="O76" s="43"/>
      <c r="P76" s="43"/>
      <c r="Q76" s="43"/>
      <c r="R76" s="43"/>
      <c r="S76" s="152"/>
    </row>
    <row r="77" spans="1:18" s="150" customFormat="1" ht="12.75">
      <c r="A77" s="43"/>
      <c r="B77" s="43" t="s">
        <v>290</v>
      </c>
      <c r="C77" s="43" t="s">
        <v>291</v>
      </c>
      <c r="E77" s="43"/>
      <c r="F77" s="43"/>
      <c r="G77" s="43"/>
      <c r="H77" s="43"/>
      <c r="I77" s="43"/>
      <c r="J77" s="43"/>
      <c r="K77" s="151"/>
      <c r="L77" s="43"/>
      <c r="M77" s="43"/>
      <c r="N77" s="43"/>
      <c r="O77" s="43"/>
      <c r="P77" s="43"/>
      <c r="Q77" s="43"/>
      <c r="R77" s="43"/>
    </row>
    <row r="78" spans="1:17" s="150" customFormat="1" ht="12.75">
      <c r="A78" s="43"/>
      <c r="B78" s="156"/>
      <c r="C78" s="156" t="s">
        <v>281</v>
      </c>
      <c r="D78" s="157"/>
      <c r="E78" s="156"/>
      <c r="F78" s="156"/>
      <c r="G78" s="156"/>
      <c r="H78" s="156"/>
      <c r="I78" s="156"/>
      <c r="J78" s="156"/>
      <c r="K78" s="151"/>
      <c r="L78" s="43"/>
      <c r="M78" s="43"/>
      <c r="N78" s="43"/>
      <c r="O78" s="43"/>
      <c r="P78" s="43"/>
      <c r="Q78" s="43"/>
    </row>
    <row r="79" spans="1:17" s="150" customFormat="1" ht="12.75">
      <c r="A79" s="43"/>
      <c r="B79" s="227"/>
      <c r="C79" s="43" t="s">
        <v>258</v>
      </c>
      <c r="E79" s="43"/>
      <c r="F79" s="43"/>
      <c r="G79" s="43"/>
      <c r="H79" s="43"/>
      <c r="I79" s="43"/>
      <c r="J79" s="43"/>
      <c r="K79" s="151"/>
      <c r="L79" s="43"/>
      <c r="M79" s="43"/>
      <c r="N79" s="43"/>
      <c r="O79" s="43"/>
      <c r="P79" s="43"/>
      <c r="Q79" s="43"/>
    </row>
    <row r="80" spans="1:17" s="150" customFormat="1" ht="12.75">
      <c r="A80" s="43"/>
      <c r="B80" s="251"/>
      <c r="C80" s="43" t="s">
        <v>285</v>
      </c>
      <c r="D80" s="43"/>
      <c r="E80" s="43"/>
      <c r="F80" s="43"/>
      <c r="G80" s="43"/>
      <c r="H80" s="43"/>
      <c r="I80" s="43"/>
      <c r="J80" s="43"/>
      <c r="K80" s="43"/>
      <c r="L80" s="43"/>
      <c r="M80" s="43"/>
      <c r="N80" s="43"/>
      <c r="O80" s="43"/>
      <c r="P80" s="43"/>
      <c r="Q80" s="43"/>
    </row>
    <row r="81" spans="1:17" s="150" customFormat="1" ht="12.75">
      <c r="A81" s="43"/>
      <c r="B81" s="228"/>
      <c r="C81" s="43" t="s">
        <v>286</v>
      </c>
      <c r="D81" s="43"/>
      <c r="E81" s="43"/>
      <c r="F81" s="43"/>
      <c r="G81" s="43"/>
      <c r="H81" s="43"/>
      <c r="I81" s="43"/>
      <c r="J81" s="43"/>
      <c r="K81" s="43"/>
      <c r="L81" s="43"/>
      <c r="M81" s="43"/>
      <c r="N81" s="43"/>
      <c r="O81" s="43"/>
      <c r="P81" s="43"/>
      <c r="Q81" s="43"/>
    </row>
    <row r="82" spans="2:17" s="5" customFormat="1" ht="12.75">
      <c r="B82" s="252"/>
      <c r="C82" s="43" t="s">
        <v>288</v>
      </c>
      <c r="L82" s="16"/>
      <c r="Q82"/>
    </row>
    <row r="83" spans="1:20" s="153" customFormat="1" ht="12.75">
      <c r="A83" s="43"/>
      <c r="B83" s="43"/>
      <c r="C83" s="32"/>
      <c r="D83" s="43"/>
      <c r="E83" s="43"/>
      <c r="F83" s="43"/>
      <c r="G83" s="43"/>
      <c r="H83" s="43"/>
      <c r="I83" s="43"/>
      <c r="J83" s="43"/>
      <c r="K83" s="151"/>
      <c r="L83" s="151"/>
      <c r="M83" s="151"/>
      <c r="N83" s="151"/>
      <c r="O83" s="43"/>
      <c r="P83" s="43"/>
      <c r="Q83" s="43"/>
      <c r="R83" s="43"/>
      <c r="S83" s="152"/>
      <c r="T83" s="152"/>
    </row>
    <row r="84" spans="1:20" s="153" customFormat="1" ht="12.75">
      <c r="A84" s="43"/>
      <c r="B84" s="43" t="s">
        <v>305</v>
      </c>
      <c r="C84" s="32"/>
      <c r="D84" s="43"/>
      <c r="E84" s="43"/>
      <c r="F84" s="43"/>
      <c r="G84" s="43"/>
      <c r="H84" s="43"/>
      <c r="I84" s="43"/>
      <c r="J84" s="43"/>
      <c r="K84" s="151"/>
      <c r="L84" s="151"/>
      <c r="M84" s="151"/>
      <c r="N84" s="151"/>
      <c r="O84" s="43"/>
      <c r="P84" s="43"/>
      <c r="Q84" s="43"/>
      <c r="R84" s="43"/>
      <c r="S84" s="152"/>
      <c r="T84" s="152"/>
    </row>
    <row r="85" spans="1:20" s="153" customFormat="1" ht="12.75">
      <c r="A85" s="43"/>
      <c r="B85" s="43" t="s">
        <v>306</v>
      </c>
      <c r="C85" s="32"/>
      <c r="D85" s="43"/>
      <c r="E85" s="43"/>
      <c r="F85" s="43"/>
      <c r="G85" s="43"/>
      <c r="H85" s="43"/>
      <c r="I85" s="43"/>
      <c r="J85" s="43"/>
      <c r="K85" s="151"/>
      <c r="L85" s="151"/>
      <c r="M85" s="151"/>
      <c r="N85" s="151"/>
      <c r="O85" s="43"/>
      <c r="P85" s="43"/>
      <c r="Q85" s="43"/>
      <c r="R85" s="43"/>
      <c r="S85" s="152"/>
      <c r="T85" s="152"/>
    </row>
    <row r="86" spans="1:20" s="153" customFormat="1" ht="16.5" customHeight="1">
      <c r="A86" s="43"/>
      <c r="B86" s="43"/>
      <c r="C86" s="32"/>
      <c r="D86" s="43"/>
      <c r="E86" s="43"/>
      <c r="F86" s="43"/>
      <c r="G86" s="43"/>
      <c r="H86" s="43"/>
      <c r="I86" s="43"/>
      <c r="J86" s="43"/>
      <c r="K86" s="151"/>
      <c r="L86" s="151"/>
      <c r="M86" s="151"/>
      <c r="N86" s="151"/>
      <c r="O86" s="43"/>
      <c r="P86" s="43"/>
      <c r="Q86" s="43"/>
      <c r="R86" s="43"/>
      <c r="S86" s="152"/>
      <c r="T86" s="152"/>
    </row>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21.75" customHeight="1"/>
  </sheetData>
  <sheetProtection/>
  <mergeCells count="19">
    <mergeCell ref="A1:B1"/>
    <mergeCell ref="I6:K6"/>
    <mergeCell ref="L6:L8"/>
    <mergeCell ref="A2:N2"/>
    <mergeCell ref="C6:E6"/>
    <mergeCell ref="C7:C8"/>
    <mergeCell ref="D7:E7"/>
    <mergeCell ref="F6:H6"/>
    <mergeCell ref="F7:F8"/>
    <mergeCell ref="A10:B10"/>
    <mergeCell ref="M6:M8"/>
    <mergeCell ref="A6:B8"/>
    <mergeCell ref="A3:N3"/>
    <mergeCell ref="A4:N4"/>
    <mergeCell ref="N6:N8"/>
    <mergeCell ref="J7:K7"/>
    <mergeCell ref="I7:I8"/>
    <mergeCell ref="G7:H7"/>
    <mergeCell ref="A9:B9"/>
  </mergeCells>
  <printOptions/>
  <pageMargins left="0.5" right="0.25" top="0.75" bottom="0.5" header="0" footer="0"/>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T162"/>
  <sheetViews>
    <sheetView zoomScale="90" zoomScaleNormal="90" zoomScalePageLayoutView="0" workbookViewId="0" topLeftCell="B1">
      <selection activeCell="S12" sqref="S12"/>
    </sheetView>
  </sheetViews>
  <sheetFormatPr defaultColWidth="9.140625" defaultRowHeight="12.75"/>
  <cols>
    <col min="1" max="1" width="4.57421875" style="0" customWidth="1"/>
    <col min="2" max="2" width="11.57421875" style="0" customWidth="1"/>
    <col min="3" max="3" width="8.140625" style="0" customWidth="1"/>
    <col min="4" max="4" width="7.421875" style="0" customWidth="1"/>
    <col min="5" max="6" width="10.140625" style="0" customWidth="1"/>
    <col min="7" max="7" width="8.7109375" style="0" customWidth="1"/>
    <col min="8" max="8" width="16.28125" style="243" customWidth="1"/>
    <col min="9" max="9" width="16.7109375" style="243" customWidth="1"/>
    <col min="10" max="10" width="6.28125" style="0" customWidth="1"/>
    <col min="11" max="11" width="6.57421875" style="0" customWidth="1"/>
    <col min="12" max="13" width="7.00390625" style="0" customWidth="1"/>
    <col min="14" max="14" width="11.8515625" style="0" bestFit="1" customWidth="1"/>
    <col min="15" max="15" width="7.7109375" style="0" customWidth="1"/>
    <col min="16" max="16" width="9.8515625" style="0" customWidth="1"/>
    <col min="17" max="17" width="9.28125" style="0" customWidth="1"/>
    <col min="18" max="18" width="18.00390625" style="202" customWidth="1"/>
    <col min="19" max="19" width="17.7109375" style="202" customWidth="1"/>
  </cols>
  <sheetData>
    <row r="1" spans="1:19" ht="18.75">
      <c r="A1" s="511" t="s">
        <v>7</v>
      </c>
      <c r="B1" s="511"/>
      <c r="L1" s="46"/>
      <c r="M1" s="46"/>
      <c r="N1" s="46"/>
      <c r="O1" s="46"/>
      <c r="P1" s="46"/>
      <c r="Q1" s="46"/>
      <c r="R1" s="124"/>
      <c r="S1" s="124"/>
    </row>
    <row r="2" spans="1:19" ht="18.75">
      <c r="A2" s="517" t="s">
        <v>89</v>
      </c>
      <c r="B2" s="517"/>
      <c r="C2" s="517"/>
      <c r="D2" s="517"/>
      <c r="E2" s="517"/>
      <c r="F2" s="517"/>
      <c r="G2" s="517"/>
      <c r="H2" s="517"/>
      <c r="I2" s="517"/>
      <c r="J2" s="517"/>
      <c r="K2" s="517"/>
      <c r="L2" s="517"/>
      <c r="M2" s="517"/>
      <c r="N2" s="517"/>
      <c r="O2" s="517"/>
      <c r="P2" s="517"/>
      <c r="Q2" s="517"/>
      <c r="R2" s="517"/>
      <c r="S2" s="517"/>
    </row>
    <row r="3" spans="1:19" ht="18.75">
      <c r="A3" s="483" t="s">
        <v>149</v>
      </c>
      <c r="B3" s="483"/>
      <c r="C3" s="483"/>
      <c r="D3" s="483"/>
      <c r="E3" s="483"/>
      <c r="F3" s="483"/>
      <c r="G3" s="483"/>
      <c r="H3" s="483"/>
      <c r="I3" s="483"/>
      <c r="J3" s="483"/>
      <c r="K3" s="483"/>
      <c r="L3" s="483"/>
      <c r="M3" s="483"/>
      <c r="N3" s="483"/>
      <c r="O3" s="483"/>
      <c r="P3" s="483"/>
      <c r="Q3" s="483"/>
      <c r="R3" s="483"/>
      <c r="S3" s="483"/>
    </row>
    <row r="4" spans="1:19" ht="18.75">
      <c r="A4" s="512" t="s">
        <v>315</v>
      </c>
      <c r="B4" s="513"/>
      <c r="C4" s="513"/>
      <c r="D4" s="513"/>
      <c r="E4" s="513"/>
      <c r="F4" s="513"/>
      <c r="G4" s="513"/>
      <c r="H4" s="513"/>
      <c r="I4" s="513"/>
      <c r="J4" s="513"/>
      <c r="K4" s="513"/>
      <c r="L4" s="513"/>
      <c r="M4" s="513"/>
      <c r="N4" s="513"/>
      <c r="O4" s="513"/>
      <c r="P4" s="513"/>
      <c r="Q4" s="513"/>
      <c r="R4" s="513"/>
      <c r="S4" s="513"/>
    </row>
    <row r="5" spans="1:19" ht="18.75">
      <c r="A5" s="17"/>
      <c r="B5" s="132">
        <f>C70+J70</f>
        <v>1395</v>
      </c>
      <c r="C5" s="325"/>
      <c r="L5" s="60"/>
      <c r="M5" s="60"/>
      <c r="N5" s="60"/>
      <c r="O5" s="60"/>
      <c r="P5" s="60"/>
      <c r="Q5" s="60"/>
      <c r="R5" s="205"/>
      <c r="S5" s="205"/>
    </row>
    <row r="6" spans="1:19" s="32" customFormat="1" ht="24.75" customHeight="1">
      <c r="A6" s="507"/>
      <c r="B6" s="508"/>
      <c r="C6" s="527" t="s">
        <v>142</v>
      </c>
      <c r="D6" s="527"/>
      <c r="E6" s="527"/>
      <c r="F6" s="527"/>
      <c r="G6" s="527"/>
      <c r="H6" s="527"/>
      <c r="I6" s="527"/>
      <c r="J6" s="527"/>
      <c r="K6" s="527"/>
      <c r="L6" s="518" t="s">
        <v>6</v>
      </c>
      <c r="M6" s="519"/>
      <c r="N6" s="519"/>
      <c r="O6" s="519"/>
      <c r="P6" s="519"/>
      <c r="Q6" s="519"/>
      <c r="R6" s="519"/>
      <c r="S6" s="520"/>
    </row>
    <row r="7" spans="1:19" s="32" customFormat="1" ht="24.75" customHeight="1">
      <c r="A7" s="509"/>
      <c r="B7" s="510"/>
      <c r="C7" s="527" t="s">
        <v>3</v>
      </c>
      <c r="D7" s="527"/>
      <c r="E7" s="527"/>
      <c r="F7" s="527"/>
      <c r="G7" s="527"/>
      <c r="H7" s="527"/>
      <c r="I7" s="527"/>
      <c r="J7" s="527" t="s">
        <v>162</v>
      </c>
      <c r="K7" s="527"/>
      <c r="L7" s="521"/>
      <c r="M7" s="522"/>
      <c r="N7" s="522"/>
      <c r="O7" s="522"/>
      <c r="P7" s="522"/>
      <c r="Q7" s="522"/>
      <c r="R7" s="522"/>
      <c r="S7" s="523"/>
    </row>
    <row r="8" spans="1:19" s="32" customFormat="1" ht="44.25" customHeight="1">
      <c r="A8" s="509"/>
      <c r="B8" s="510"/>
      <c r="C8" s="527" t="s">
        <v>268</v>
      </c>
      <c r="D8" s="527" t="s">
        <v>269</v>
      </c>
      <c r="E8" s="515" t="s">
        <v>270</v>
      </c>
      <c r="F8" s="515"/>
      <c r="G8" s="515"/>
      <c r="H8" s="514" t="s">
        <v>283</v>
      </c>
      <c r="I8" s="514"/>
      <c r="J8" s="527" t="s">
        <v>271</v>
      </c>
      <c r="K8" s="527" t="s">
        <v>272</v>
      </c>
      <c r="L8" s="501" t="s">
        <v>273</v>
      </c>
      <c r="M8" s="501" t="s">
        <v>277</v>
      </c>
      <c r="N8" s="501" t="s">
        <v>274</v>
      </c>
      <c r="O8" s="501"/>
      <c r="P8" s="501" t="s">
        <v>275</v>
      </c>
      <c r="Q8" s="501"/>
      <c r="R8" s="516" t="s">
        <v>276</v>
      </c>
      <c r="S8" s="516"/>
    </row>
    <row r="9" spans="1:19" s="32" customFormat="1" ht="12.75">
      <c r="A9" s="509"/>
      <c r="B9" s="510"/>
      <c r="C9" s="527"/>
      <c r="D9" s="527"/>
      <c r="E9" s="503" t="s">
        <v>9</v>
      </c>
      <c r="F9" s="506" t="s">
        <v>78</v>
      </c>
      <c r="G9" s="506"/>
      <c r="H9" s="505" t="s">
        <v>9</v>
      </c>
      <c r="I9" s="505" t="s">
        <v>81</v>
      </c>
      <c r="J9" s="527"/>
      <c r="K9" s="527"/>
      <c r="L9" s="501"/>
      <c r="M9" s="501"/>
      <c r="N9" s="503" t="s">
        <v>9</v>
      </c>
      <c r="O9" s="503" t="s">
        <v>83</v>
      </c>
      <c r="P9" s="499" t="s">
        <v>9</v>
      </c>
      <c r="Q9" s="499" t="s">
        <v>84</v>
      </c>
      <c r="R9" s="497" t="s">
        <v>9</v>
      </c>
      <c r="S9" s="497" t="s">
        <v>27</v>
      </c>
    </row>
    <row r="10" spans="1:19" s="32" customFormat="1" ht="84.75" customHeight="1">
      <c r="A10" s="509"/>
      <c r="B10" s="510"/>
      <c r="C10" s="527"/>
      <c r="D10" s="527"/>
      <c r="E10" s="503"/>
      <c r="F10" s="78" t="s">
        <v>79</v>
      </c>
      <c r="G10" s="78" t="s">
        <v>80</v>
      </c>
      <c r="H10" s="505"/>
      <c r="I10" s="505"/>
      <c r="J10" s="527"/>
      <c r="K10" s="527"/>
      <c r="L10" s="502"/>
      <c r="M10" s="502"/>
      <c r="N10" s="504"/>
      <c r="O10" s="504"/>
      <c r="P10" s="500"/>
      <c r="Q10" s="500"/>
      <c r="R10" s="498"/>
      <c r="S10" s="498"/>
    </row>
    <row r="11" spans="1:19" s="32" customFormat="1" ht="12.75">
      <c r="A11" s="524" t="s">
        <v>40</v>
      </c>
      <c r="B11" s="524"/>
      <c r="C11" s="167">
        <v>1</v>
      </c>
      <c r="D11" s="167">
        <v>2</v>
      </c>
      <c r="E11" s="167">
        <v>3</v>
      </c>
      <c r="F11" s="167">
        <v>4</v>
      </c>
      <c r="G11" s="167">
        <v>5</v>
      </c>
      <c r="H11" s="167">
        <v>6</v>
      </c>
      <c r="I11" s="167">
        <v>7</v>
      </c>
      <c r="J11" s="167">
        <v>8</v>
      </c>
      <c r="K11" s="167">
        <v>9</v>
      </c>
      <c r="L11" s="167">
        <v>10</v>
      </c>
      <c r="M11" s="167">
        <v>11</v>
      </c>
      <c r="N11" s="167">
        <v>12</v>
      </c>
      <c r="O11" s="167">
        <v>13</v>
      </c>
      <c r="P11" s="167">
        <v>14</v>
      </c>
      <c r="Q11" s="167">
        <v>15</v>
      </c>
      <c r="R11" s="167">
        <v>16</v>
      </c>
      <c r="S11" s="167">
        <v>17</v>
      </c>
    </row>
    <row r="12" spans="1:19" s="32" customFormat="1" ht="27.75" customHeight="1">
      <c r="A12" s="525" t="s">
        <v>97</v>
      </c>
      <c r="B12" s="526"/>
      <c r="C12" s="223">
        <f aca="true" t="shared" si="0" ref="C12:S12">SUM(C13:C75)</f>
        <v>3378</v>
      </c>
      <c r="D12" s="223">
        <f t="shared" si="0"/>
        <v>8078</v>
      </c>
      <c r="E12" s="223">
        <f t="shared" si="0"/>
        <v>186387</v>
      </c>
      <c r="F12" s="223">
        <f t="shared" si="0"/>
        <v>54688</v>
      </c>
      <c r="G12" s="223">
        <f t="shared" si="0"/>
        <v>94794</v>
      </c>
      <c r="H12" s="382">
        <f t="shared" si="0"/>
        <v>4297370202.064001</v>
      </c>
      <c r="I12" s="382">
        <f t="shared" si="0"/>
        <v>371276348.51</v>
      </c>
      <c r="J12" s="223">
        <f t="shared" si="0"/>
        <v>47</v>
      </c>
      <c r="K12" s="223">
        <f t="shared" si="0"/>
        <v>0</v>
      </c>
      <c r="L12" s="223">
        <f t="shared" si="0"/>
        <v>607</v>
      </c>
      <c r="M12" s="223">
        <f t="shared" si="0"/>
        <v>652</v>
      </c>
      <c r="N12" s="223">
        <f t="shared" si="0"/>
        <v>18696</v>
      </c>
      <c r="O12" s="223">
        <f t="shared" si="0"/>
        <v>8137</v>
      </c>
      <c r="P12" s="223">
        <f t="shared" si="0"/>
        <v>16252</v>
      </c>
      <c r="Q12" s="223">
        <f t="shared" si="0"/>
        <v>14109</v>
      </c>
      <c r="R12" s="381">
        <f t="shared" si="0"/>
        <v>11725388434.549</v>
      </c>
      <c r="S12" s="381">
        <f t="shared" si="0"/>
        <v>1191412833.343</v>
      </c>
    </row>
    <row r="13" spans="1:19" ht="15">
      <c r="A13" s="237">
        <v>1</v>
      </c>
      <c r="B13" s="238" t="s">
        <v>168</v>
      </c>
      <c r="C13" s="247">
        <v>35</v>
      </c>
      <c r="D13" s="247">
        <v>49</v>
      </c>
      <c r="E13" s="247">
        <v>2086</v>
      </c>
      <c r="F13" s="247">
        <v>714</v>
      </c>
      <c r="G13" s="247">
        <v>1108</v>
      </c>
      <c r="H13" s="245">
        <v>958180</v>
      </c>
      <c r="I13" s="245">
        <v>89456</v>
      </c>
      <c r="J13" s="247"/>
      <c r="K13" s="247"/>
      <c r="L13" s="247">
        <v>15</v>
      </c>
      <c r="M13" s="247">
        <v>6</v>
      </c>
      <c r="N13" s="248">
        <v>297</v>
      </c>
      <c r="O13" s="248">
        <v>67</v>
      </c>
      <c r="P13" s="247">
        <v>79</v>
      </c>
      <c r="Q13" s="247">
        <v>79</v>
      </c>
      <c r="R13" s="247">
        <v>4595929</v>
      </c>
      <c r="S13" s="247">
        <v>1890786</v>
      </c>
    </row>
    <row r="14" spans="1:19" ht="24">
      <c r="A14" s="237">
        <v>2</v>
      </c>
      <c r="B14" s="238" t="s">
        <v>253</v>
      </c>
      <c r="C14" s="247">
        <v>63</v>
      </c>
      <c r="D14" s="247">
        <v>174</v>
      </c>
      <c r="E14" s="247">
        <v>3642</v>
      </c>
      <c r="F14" s="247">
        <v>638</v>
      </c>
      <c r="G14" s="247">
        <v>1194</v>
      </c>
      <c r="H14" s="245">
        <v>11755631</v>
      </c>
      <c r="I14" s="245">
        <v>731012</v>
      </c>
      <c r="J14" s="247"/>
      <c r="K14" s="247"/>
      <c r="L14" s="247">
        <v>5</v>
      </c>
      <c r="M14" s="247">
        <v>6</v>
      </c>
      <c r="N14" s="248">
        <v>398</v>
      </c>
      <c r="O14" s="248">
        <v>200</v>
      </c>
      <c r="P14" s="247">
        <v>220</v>
      </c>
      <c r="Q14" s="247">
        <v>220</v>
      </c>
      <c r="R14" s="247">
        <v>2581259</v>
      </c>
      <c r="S14" s="247">
        <v>303445</v>
      </c>
    </row>
    <row r="15" spans="1:19" ht="15">
      <c r="A15" s="237">
        <v>3</v>
      </c>
      <c r="B15" s="238" t="s">
        <v>169</v>
      </c>
      <c r="C15" s="247">
        <v>14</v>
      </c>
      <c r="D15" s="247">
        <v>30</v>
      </c>
      <c r="E15" s="247">
        <v>625</v>
      </c>
      <c r="F15" s="247">
        <v>263</v>
      </c>
      <c r="G15" s="247">
        <v>362</v>
      </c>
      <c r="H15" s="245">
        <v>1212958</v>
      </c>
      <c r="I15" s="245">
        <v>119367</v>
      </c>
      <c r="J15" s="247"/>
      <c r="K15" s="247"/>
      <c r="L15" s="247">
        <v>5</v>
      </c>
      <c r="M15" s="247">
        <v>7</v>
      </c>
      <c r="N15" s="248">
        <v>182</v>
      </c>
      <c r="O15" s="248">
        <v>88</v>
      </c>
      <c r="P15" s="247">
        <v>176</v>
      </c>
      <c r="Q15" s="247">
        <v>117</v>
      </c>
      <c r="R15" s="315">
        <v>660451578</v>
      </c>
      <c r="S15" s="315">
        <v>151170751</v>
      </c>
    </row>
    <row r="16" spans="1:19" ht="15.75">
      <c r="A16" s="237">
        <v>4</v>
      </c>
      <c r="B16" s="238" t="s">
        <v>170</v>
      </c>
      <c r="C16" s="247">
        <v>5</v>
      </c>
      <c r="D16" s="247">
        <v>6</v>
      </c>
      <c r="E16" s="247">
        <v>49</v>
      </c>
      <c r="F16" s="247">
        <v>10</v>
      </c>
      <c r="G16" s="247">
        <v>37</v>
      </c>
      <c r="H16" s="245">
        <v>37000</v>
      </c>
      <c r="I16" s="342">
        <v>0</v>
      </c>
      <c r="J16" s="247"/>
      <c r="K16" s="247"/>
      <c r="L16" s="247">
        <v>1</v>
      </c>
      <c r="M16" s="247">
        <v>3</v>
      </c>
      <c r="N16" s="248">
        <v>99</v>
      </c>
      <c r="O16" s="248">
        <v>76</v>
      </c>
      <c r="P16" s="247">
        <v>99</v>
      </c>
      <c r="Q16" s="247">
        <v>76</v>
      </c>
      <c r="R16" s="247">
        <v>1204998</v>
      </c>
      <c r="S16" s="247">
        <v>1204998</v>
      </c>
    </row>
    <row r="17" spans="1:19" ht="15">
      <c r="A17" s="237">
        <v>5</v>
      </c>
      <c r="B17" s="238" t="s">
        <v>171</v>
      </c>
      <c r="C17" s="247">
        <v>8</v>
      </c>
      <c r="D17" s="247">
        <v>13</v>
      </c>
      <c r="E17" s="247">
        <v>432</v>
      </c>
      <c r="F17" s="247">
        <v>147</v>
      </c>
      <c r="G17" s="247">
        <v>252</v>
      </c>
      <c r="H17" s="245">
        <v>304860.4</v>
      </c>
      <c r="I17" s="245">
        <v>12560</v>
      </c>
      <c r="J17" s="247"/>
      <c r="K17" s="247"/>
      <c r="L17" s="247">
        <v>1</v>
      </c>
      <c r="M17" s="247">
        <v>3</v>
      </c>
      <c r="N17" s="248">
        <v>222</v>
      </c>
      <c r="O17" s="248">
        <v>27</v>
      </c>
      <c r="P17" s="247">
        <v>38</v>
      </c>
      <c r="Q17" s="247">
        <v>38</v>
      </c>
      <c r="R17" s="247">
        <v>301433</v>
      </c>
      <c r="S17" s="247">
        <v>53667</v>
      </c>
    </row>
    <row r="18" spans="1:19" ht="15.75">
      <c r="A18" s="237">
        <v>6</v>
      </c>
      <c r="B18" s="238" t="s">
        <v>172</v>
      </c>
      <c r="C18" s="245">
        <v>12</v>
      </c>
      <c r="D18" s="245">
        <v>39</v>
      </c>
      <c r="E18" s="306"/>
      <c r="F18" s="324"/>
      <c r="G18" s="305"/>
      <c r="H18" s="305"/>
      <c r="I18" s="305"/>
      <c r="J18" s="245"/>
      <c r="K18" s="245"/>
      <c r="L18" s="245">
        <v>5</v>
      </c>
      <c r="M18" s="245">
        <v>12</v>
      </c>
      <c r="N18" s="245">
        <v>202</v>
      </c>
      <c r="O18" s="245">
        <v>85</v>
      </c>
      <c r="P18" s="245">
        <v>167</v>
      </c>
      <c r="Q18" s="245">
        <v>86</v>
      </c>
      <c r="R18" s="245">
        <v>895018</v>
      </c>
      <c r="S18" s="245">
        <v>197863</v>
      </c>
    </row>
    <row r="19" spans="1:19" ht="15">
      <c r="A19" s="237">
        <v>7</v>
      </c>
      <c r="B19" s="238" t="s">
        <v>173</v>
      </c>
      <c r="C19" s="305"/>
      <c r="D19" s="305"/>
      <c r="E19" s="305"/>
      <c r="F19" s="305"/>
      <c r="G19" s="305"/>
      <c r="H19" s="305"/>
      <c r="I19" s="305"/>
      <c r="J19" s="245"/>
      <c r="K19" s="245"/>
      <c r="L19" s="245"/>
      <c r="M19" s="245"/>
      <c r="N19" s="322"/>
      <c r="O19" s="322"/>
      <c r="P19" s="245"/>
      <c r="Q19" s="245"/>
      <c r="R19" s="245"/>
      <c r="S19" s="245"/>
    </row>
    <row r="20" spans="1:19" ht="15">
      <c r="A20" s="237">
        <v>8</v>
      </c>
      <c r="B20" s="238" t="s">
        <v>174</v>
      </c>
      <c r="C20" s="247">
        <v>21</v>
      </c>
      <c r="D20" s="247">
        <v>39</v>
      </c>
      <c r="E20" s="247">
        <v>624</v>
      </c>
      <c r="F20" s="247">
        <v>203</v>
      </c>
      <c r="G20" s="247">
        <v>69</v>
      </c>
      <c r="H20" s="245">
        <v>812000</v>
      </c>
      <c r="I20" s="245">
        <v>72688</v>
      </c>
      <c r="J20" s="247"/>
      <c r="K20" s="247"/>
      <c r="L20" s="247">
        <v>11</v>
      </c>
      <c r="M20" s="247">
        <v>14</v>
      </c>
      <c r="N20" s="248">
        <v>319</v>
      </c>
      <c r="O20" s="248">
        <v>196</v>
      </c>
      <c r="P20" s="247">
        <v>671</v>
      </c>
      <c r="Q20" s="247">
        <v>671</v>
      </c>
      <c r="R20" s="247">
        <v>7773391</v>
      </c>
      <c r="S20" s="247">
        <v>5130688</v>
      </c>
    </row>
    <row r="21" spans="1:19" ht="15">
      <c r="A21" s="237">
        <v>9</v>
      </c>
      <c r="B21" s="238" t="s">
        <v>175</v>
      </c>
      <c r="C21" s="247">
        <v>19</v>
      </c>
      <c r="D21" s="247">
        <v>25</v>
      </c>
      <c r="E21" s="247">
        <v>1306</v>
      </c>
      <c r="F21" s="247">
        <v>333</v>
      </c>
      <c r="G21" s="247">
        <v>617</v>
      </c>
      <c r="H21" s="245">
        <v>1999824</v>
      </c>
      <c r="I21" s="245">
        <v>123079</v>
      </c>
      <c r="J21" s="247"/>
      <c r="K21" s="247"/>
      <c r="L21" s="247">
        <v>11</v>
      </c>
      <c r="M21" s="247">
        <v>7</v>
      </c>
      <c r="N21" s="248">
        <v>228</v>
      </c>
      <c r="O21" s="248">
        <v>116</v>
      </c>
      <c r="P21" s="247">
        <v>172</v>
      </c>
      <c r="Q21" s="247">
        <v>169</v>
      </c>
      <c r="R21" s="247">
        <v>6097992</v>
      </c>
      <c r="S21" s="247">
        <v>3734725</v>
      </c>
    </row>
    <row r="22" spans="1:19" ht="15">
      <c r="A22" s="237">
        <v>10</v>
      </c>
      <c r="B22" s="238" t="s">
        <v>176</v>
      </c>
      <c r="C22" s="247">
        <v>19</v>
      </c>
      <c r="D22" s="247">
        <v>39</v>
      </c>
      <c r="E22" s="247">
        <v>1194</v>
      </c>
      <c r="F22" s="247">
        <v>284</v>
      </c>
      <c r="G22" s="247">
        <v>682</v>
      </c>
      <c r="H22" s="299">
        <v>750767000</v>
      </c>
      <c r="I22" s="299">
        <v>61099340</v>
      </c>
      <c r="J22" s="247"/>
      <c r="K22" s="247"/>
      <c r="L22" s="247">
        <v>1</v>
      </c>
      <c r="M22" s="247">
        <v>3</v>
      </c>
      <c r="N22" s="248">
        <v>105</v>
      </c>
      <c r="O22" s="248">
        <v>98</v>
      </c>
      <c r="P22" s="247">
        <v>105</v>
      </c>
      <c r="Q22" s="247">
        <v>98</v>
      </c>
      <c r="R22" s="315">
        <v>230000000</v>
      </c>
      <c r="S22" s="315">
        <v>23000000</v>
      </c>
    </row>
    <row r="23" spans="1:19" ht="15">
      <c r="A23" s="237">
        <v>11</v>
      </c>
      <c r="B23" s="238" t="s">
        <v>177</v>
      </c>
      <c r="C23" s="247">
        <v>20</v>
      </c>
      <c r="D23" s="247">
        <v>33</v>
      </c>
      <c r="E23" s="247">
        <v>1644</v>
      </c>
      <c r="F23" s="247">
        <v>469</v>
      </c>
      <c r="G23" s="247">
        <v>1058</v>
      </c>
      <c r="H23" s="247">
        <v>424000</v>
      </c>
      <c r="I23" s="247">
        <v>42400</v>
      </c>
      <c r="J23" s="247"/>
      <c r="K23" s="247"/>
      <c r="L23" s="247">
        <v>5</v>
      </c>
      <c r="M23" s="247">
        <v>7</v>
      </c>
      <c r="N23" s="247">
        <v>391</v>
      </c>
      <c r="O23" s="247">
        <v>359</v>
      </c>
      <c r="P23" s="247">
        <v>373</v>
      </c>
      <c r="Q23" s="247">
        <v>373</v>
      </c>
      <c r="R23" s="315">
        <v>119732394</v>
      </c>
      <c r="S23" s="247">
        <v>336646</v>
      </c>
    </row>
    <row r="24" spans="1:19" ht="15">
      <c r="A24" s="237">
        <v>12</v>
      </c>
      <c r="B24" s="238" t="s">
        <v>178</v>
      </c>
      <c r="C24" s="247">
        <v>16</v>
      </c>
      <c r="D24" s="247">
        <v>29</v>
      </c>
      <c r="E24" s="247">
        <v>2498</v>
      </c>
      <c r="F24" s="247">
        <v>400</v>
      </c>
      <c r="G24" s="247">
        <v>1647</v>
      </c>
      <c r="H24" s="245">
        <v>1679400</v>
      </c>
      <c r="I24" s="245">
        <v>113394</v>
      </c>
      <c r="J24" s="247"/>
      <c r="K24" s="247"/>
      <c r="L24" s="247">
        <v>2</v>
      </c>
      <c r="M24" s="247">
        <v>2</v>
      </c>
      <c r="N24" s="248">
        <v>336</v>
      </c>
      <c r="O24" s="248">
        <v>50</v>
      </c>
      <c r="P24" s="247">
        <v>50</v>
      </c>
      <c r="Q24" s="247">
        <v>50</v>
      </c>
      <c r="R24" s="247">
        <v>373311</v>
      </c>
      <c r="S24" s="247">
        <v>35909</v>
      </c>
    </row>
    <row r="25" spans="1:19" ht="15">
      <c r="A25" s="237">
        <v>13</v>
      </c>
      <c r="B25" s="238" t="s">
        <v>179</v>
      </c>
      <c r="C25" s="247">
        <v>87</v>
      </c>
      <c r="D25" s="247">
        <v>161</v>
      </c>
      <c r="E25" s="247">
        <v>3724</v>
      </c>
      <c r="F25" s="247">
        <v>836</v>
      </c>
      <c r="G25" s="247">
        <v>1122</v>
      </c>
      <c r="H25" s="299"/>
      <c r="I25" s="299"/>
      <c r="J25" s="247"/>
      <c r="K25" s="247"/>
      <c r="L25" s="247">
        <v>9</v>
      </c>
      <c r="M25" s="247">
        <v>7</v>
      </c>
      <c r="N25" s="248">
        <f>221+27</f>
        <v>248</v>
      </c>
      <c r="O25" s="248">
        <v>78</v>
      </c>
      <c r="P25" s="247">
        <v>225</v>
      </c>
      <c r="Q25" s="247">
        <v>225</v>
      </c>
      <c r="R25" s="247">
        <f>2063402+7570464</f>
        <v>9633866</v>
      </c>
      <c r="S25" s="247">
        <f>500+5404992</f>
        <v>5405492</v>
      </c>
    </row>
    <row r="26" spans="1:19" ht="15">
      <c r="A26" s="237">
        <v>14</v>
      </c>
      <c r="B26" s="238" t="s">
        <v>180</v>
      </c>
      <c r="C26" s="247">
        <v>5</v>
      </c>
      <c r="D26" s="247">
        <v>10</v>
      </c>
      <c r="E26" s="247">
        <v>126</v>
      </c>
      <c r="F26" s="247">
        <v>66</v>
      </c>
      <c r="G26" s="247">
        <v>60</v>
      </c>
      <c r="H26" s="245">
        <v>90000</v>
      </c>
      <c r="I26" s="245">
        <v>3000</v>
      </c>
      <c r="J26" s="247"/>
      <c r="K26" s="247"/>
      <c r="L26" s="247">
        <v>1</v>
      </c>
      <c r="M26" s="247">
        <v>3</v>
      </c>
      <c r="N26" s="248">
        <v>68</v>
      </c>
      <c r="O26" s="248">
        <v>59</v>
      </c>
      <c r="P26" s="247">
        <v>64</v>
      </c>
      <c r="Q26" s="247">
        <v>59</v>
      </c>
      <c r="R26" s="247">
        <v>53730250</v>
      </c>
      <c r="S26" s="247">
        <v>12219075</v>
      </c>
    </row>
    <row r="27" spans="1:19" ht="15">
      <c r="A27" s="237">
        <v>15</v>
      </c>
      <c r="B27" s="238" t="s">
        <v>181</v>
      </c>
      <c r="C27" s="247">
        <v>70</v>
      </c>
      <c r="D27" s="247">
        <v>144</v>
      </c>
      <c r="E27" s="247">
        <v>1289</v>
      </c>
      <c r="F27" s="247">
        <v>329</v>
      </c>
      <c r="G27" s="247">
        <v>450</v>
      </c>
      <c r="H27" s="245">
        <v>5720630</v>
      </c>
      <c r="I27" s="245">
        <v>437136</v>
      </c>
      <c r="J27" s="247"/>
      <c r="K27" s="247"/>
      <c r="L27" s="247"/>
      <c r="M27" s="247">
        <v>9</v>
      </c>
      <c r="N27" s="248">
        <v>304</v>
      </c>
      <c r="O27" s="248">
        <v>172</v>
      </c>
      <c r="P27" s="247">
        <v>177</v>
      </c>
      <c r="Q27" s="247">
        <v>174</v>
      </c>
      <c r="R27" s="246">
        <v>1321433</v>
      </c>
      <c r="S27" s="246">
        <v>768147</v>
      </c>
    </row>
    <row r="28" spans="1:19" ht="15">
      <c r="A28" s="237">
        <v>16</v>
      </c>
      <c r="B28" s="238" t="s">
        <v>182</v>
      </c>
      <c r="C28" s="247">
        <v>23</v>
      </c>
      <c r="D28" s="247">
        <v>31</v>
      </c>
      <c r="E28" s="247">
        <v>1563</v>
      </c>
      <c r="F28" s="247">
        <v>615</v>
      </c>
      <c r="G28" s="247">
        <v>577</v>
      </c>
      <c r="H28" s="245">
        <v>629890</v>
      </c>
      <c r="I28" s="245">
        <v>54930</v>
      </c>
      <c r="J28" s="247"/>
      <c r="K28" s="247"/>
      <c r="L28" s="247">
        <v>21</v>
      </c>
      <c r="M28" s="247">
        <v>16</v>
      </c>
      <c r="N28" s="248">
        <v>1905</v>
      </c>
      <c r="O28" s="248">
        <v>661</v>
      </c>
      <c r="P28" s="247">
        <v>718</v>
      </c>
      <c r="Q28" s="247">
        <v>713</v>
      </c>
      <c r="R28" s="315">
        <v>104880755</v>
      </c>
      <c r="S28" s="315">
        <v>102600922</v>
      </c>
    </row>
    <row r="29" spans="1:19" ht="15">
      <c r="A29" s="237">
        <v>17</v>
      </c>
      <c r="B29" s="238" t="s">
        <v>183</v>
      </c>
      <c r="C29" s="247">
        <v>6</v>
      </c>
      <c r="D29" s="247">
        <v>16</v>
      </c>
      <c r="E29" s="247">
        <v>930</v>
      </c>
      <c r="F29" s="247">
        <v>204</v>
      </c>
      <c r="G29" s="247">
        <v>563</v>
      </c>
      <c r="H29" s="245">
        <v>892500</v>
      </c>
      <c r="I29" s="245">
        <v>26850</v>
      </c>
      <c r="J29" s="247"/>
      <c r="K29" s="247"/>
      <c r="L29" s="247">
        <v>10</v>
      </c>
      <c r="M29" s="247">
        <v>9</v>
      </c>
      <c r="N29" s="248">
        <v>265</v>
      </c>
      <c r="O29" s="248">
        <v>71</v>
      </c>
      <c r="P29" s="247">
        <v>89</v>
      </c>
      <c r="Q29" s="247">
        <v>86</v>
      </c>
      <c r="R29" s="247">
        <v>550</v>
      </c>
      <c r="S29" s="247">
        <v>117</v>
      </c>
    </row>
    <row r="30" spans="1:19" ht="15.75">
      <c r="A30" s="237">
        <v>18</v>
      </c>
      <c r="B30" s="238" t="s">
        <v>184</v>
      </c>
      <c r="C30" s="247">
        <v>4</v>
      </c>
      <c r="D30" s="247">
        <v>12</v>
      </c>
      <c r="E30" s="247">
        <v>492</v>
      </c>
      <c r="F30" s="247">
        <v>110</v>
      </c>
      <c r="G30" s="247">
        <v>331</v>
      </c>
      <c r="H30" s="245">
        <v>362400</v>
      </c>
      <c r="I30" s="342">
        <v>0</v>
      </c>
      <c r="J30" s="247"/>
      <c r="K30" s="247"/>
      <c r="L30" s="247">
        <v>11</v>
      </c>
      <c r="M30" s="247">
        <v>2</v>
      </c>
      <c r="N30" s="248">
        <v>46</v>
      </c>
      <c r="O30" s="248">
        <v>44</v>
      </c>
      <c r="P30" s="247">
        <v>44</v>
      </c>
      <c r="Q30" s="247">
        <v>44</v>
      </c>
      <c r="R30" s="247">
        <v>279808</v>
      </c>
      <c r="S30" s="247">
        <v>2900300</v>
      </c>
    </row>
    <row r="31" spans="1:19" ht="15">
      <c r="A31" s="237">
        <v>19</v>
      </c>
      <c r="B31" s="239" t="s">
        <v>202</v>
      </c>
      <c r="C31" s="247">
        <v>102</v>
      </c>
      <c r="D31" s="247">
        <v>233</v>
      </c>
      <c r="E31" s="247">
        <v>4934</v>
      </c>
      <c r="F31" s="247">
        <v>1020</v>
      </c>
      <c r="G31" s="247">
        <v>2550</v>
      </c>
      <c r="H31" s="245">
        <v>11000000</v>
      </c>
      <c r="I31" s="245">
        <v>882000</v>
      </c>
      <c r="J31" s="247"/>
      <c r="K31" s="247"/>
      <c r="L31" s="247">
        <v>12</v>
      </c>
      <c r="M31" s="247">
        <v>12</v>
      </c>
      <c r="N31" s="248">
        <v>704</v>
      </c>
      <c r="O31" s="248">
        <v>140</v>
      </c>
      <c r="P31" s="247">
        <v>140</v>
      </c>
      <c r="Q31" s="247">
        <v>140</v>
      </c>
      <c r="R31" s="247">
        <v>4024828</v>
      </c>
      <c r="S31" s="247">
        <v>2173724</v>
      </c>
    </row>
    <row r="32" spans="1:19" ht="15">
      <c r="A32" s="237">
        <v>20</v>
      </c>
      <c r="B32" s="239" t="s">
        <v>203</v>
      </c>
      <c r="C32" s="247">
        <v>22</v>
      </c>
      <c r="D32" s="247">
        <v>37</v>
      </c>
      <c r="E32" s="247">
        <v>1453</v>
      </c>
      <c r="F32" s="247">
        <v>574</v>
      </c>
      <c r="G32" s="247">
        <v>682</v>
      </c>
      <c r="H32" s="245">
        <v>1466000</v>
      </c>
      <c r="I32" s="245">
        <v>185493</v>
      </c>
      <c r="J32" s="247"/>
      <c r="K32" s="247"/>
      <c r="L32" s="247">
        <v>12</v>
      </c>
      <c r="M32" s="247">
        <v>11</v>
      </c>
      <c r="N32" s="248">
        <v>727</v>
      </c>
      <c r="O32" s="248">
        <v>256</v>
      </c>
      <c r="P32" s="247">
        <v>264</v>
      </c>
      <c r="Q32" s="247">
        <v>264</v>
      </c>
      <c r="R32" s="247">
        <v>58612918</v>
      </c>
      <c r="S32" s="247">
        <v>26864902</v>
      </c>
    </row>
    <row r="33" spans="1:19" ht="15">
      <c r="A33" s="237">
        <v>21</v>
      </c>
      <c r="B33" s="239" t="s">
        <v>204</v>
      </c>
      <c r="C33" s="247">
        <v>9</v>
      </c>
      <c r="D33" s="247">
        <v>23</v>
      </c>
      <c r="E33" s="296">
        <v>524</v>
      </c>
      <c r="F33" s="247">
        <v>143</v>
      </c>
      <c r="G33" s="247">
        <v>268</v>
      </c>
      <c r="H33" s="245">
        <v>152881</v>
      </c>
      <c r="I33" s="245">
        <v>121153</v>
      </c>
      <c r="J33" s="247"/>
      <c r="K33" s="247"/>
      <c r="L33" s="247">
        <v>2</v>
      </c>
      <c r="M33" s="247">
        <v>3</v>
      </c>
      <c r="N33" s="248">
        <v>165</v>
      </c>
      <c r="O33" s="248">
        <v>56</v>
      </c>
      <c r="P33" s="247">
        <v>118</v>
      </c>
      <c r="Q33" s="247">
        <v>61</v>
      </c>
      <c r="R33" s="315">
        <v>965682132</v>
      </c>
      <c r="S33" s="315">
        <v>94632945</v>
      </c>
    </row>
    <row r="34" spans="1:19" ht="15.75">
      <c r="A34" s="237">
        <v>22</v>
      </c>
      <c r="B34" s="239" t="s">
        <v>205</v>
      </c>
      <c r="C34" s="247">
        <v>4</v>
      </c>
      <c r="D34" s="247">
        <v>6</v>
      </c>
      <c r="E34" s="247">
        <v>245</v>
      </c>
      <c r="F34" s="247">
        <v>104</v>
      </c>
      <c r="G34" s="247">
        <v>118</v>
      </c>
      <c r="H34" s="245">
        <v>142050</v>
      </c>
      <c r="I34" s="342">
        <v>0</v>
      </c>
      <c r="J34" s="247"/>
      <c r="K34" s="247"/>
      <c r="L34" s="247">
        <v>1</v>
      </c>
      <c r="M34" s="247">
        <v>4</v>
      </c>
      <c r="N34" s="248">
        <v>48</v>
      </c>
      <c r="O34" s="247">
        <v>39</v>
      </c>
      <c r="P34" s="247">
        <v>184</v>
      </c>
      <c r="Q34" s="247">
        <v>117</v>
      </c>
      <c r="R34" s="247">
        <v>115256</v>
      </c>
      <c r="S34" s="247">
        <v>34613</v>
      </c>
    </row>
    <row r="35" spans="1:19" ht="15">
      <c r="A35" s="237">
        <v>23</v>
      </c>
      <c r="B35" s="239" t="s">
        <v>206</v>
      </c>
      <c r="C35" s="247">
        <v>1</v>
      </c>
      <c r="D35" s="247">
        <v>6</v>
      </c>
      <c r="E35" s="298">
        <v>204</v>
      </c>
      <c r="F35" s="247">
        <v>70</v>
      </c>
      <c r="G35" s="247">
        <v>104</v>
      </c>
      <c r="H35" s="245">
        <v>130000</v>
      </c>
      <c r="I35" s="245">
        <v>11080</v>
      </c>
      <c r="J35" s="247"/>
      <c r="K35" s="247"/>
      <c r="L35" s="247">
        <v>4</v>
      </c>
      <c r="M35" s="247">
        <v>5</v>
      </c>
      <c r="N35" s="247">
        <v>121</v>
      </c>
      <c r="O35" s="247">
        <v>49</v>
      </c>
      <c r="P35" s="248">
        <v>129</v>
      </c>
      <c r="Q35" s="248">
        <v>129</v>
      </c>
      <c r="R35" s="271">
        <v>172866</v>
      </c>
      <c r="S35" s="271">
        <v>14929</v>
      </c>
    </row>
    <row r="36" spans="1:19" ht="15.75">
      <c r="A36" s="237">
        <v>24</v>
      </c>
      <c r="B36" s="239" t="s">
        <v>207</v>
      </c>
      <c r="C36" s="247">
        <v>855</v>
      </c>
      <c r="D36" s="247">
        <v>2215</v>
      </c>
      <c r="E36" s="247">
        <v>62216</v>
      </c>
      <c r="F36" s="247">
        <v>34214</v>
      </c>
      <c r="G36" s="247">
        <v>13267</v>
      </c>
      <c r="H36" s="245">
        <v>930795000</v>
      </c>
      <c r="I36" s="245">
        <v>34570000</v>
      </c>
      <c r="J36" s="247"/>
      <c r="K36" s="247"/>
      <c r="L36" s="247">
        <v>70</v>
      </c>
      <c r="M36" s="248">
        <v>135</v>
      </c>
      <c r="N36" s="248">
        <v>401</v>
      </c>
      <c r="O36" s="365">
        <v>0</v>
      </c>
      <c r="P36" s="247">
        <v>456</v>
      </c>
      <c r="Q36" s="247">
        <v>357</v>
      </c>
      <c r="R36" s="315">
        <v>4371506734</v>
      </c>
      <c r="S36" s="334">
        <v>0</v>
      </c>
    </row>
    <row r="37" spans="1:19" ht="15">
      <c r="A37" s="237">
        <v>25</v>
      </c>
      <c r="B37" s="239" t="s">
        <v>208</v>
      </c>
      <c r="C37" s="247">
        <v>10</v>
      </c>
      <c r="D37" s="247">
        <v>27</v>
      </c>
      <c r="E37" s="247">
        <v>294</v>
      </c>
      <c r="F37" s="247">
        <v>75</v>
      </c>
      <c r="G37" s="247">
        <v>182</v>
      </c>
      <c r="H37" s="245">
        <v>235272.726</v>
      </c>
      <c r="I37" s="245">
        <v>12927.272</v>
      </c>
      <c r="J37" s="247"/>
      <c r="K37" s="247"/>
      <c r="L37" s="247">
        <v>5</v>
      </c>
      <c r="M37" s="247">
        <v>6</v>
      </c>
      <c r="N37" s="248">
        <v>190</v>
      </c>
      <c r="O37" s="248">
        <v>139</v>
      </c>
      <c r="P37" s="247">
        <v>531</v>
      </c>
      <c r="Q37" s="247">
        <v>531</v>
      </c>
      <c r="R37" s="247">
        <v>1959454.4</v>
      </c>
      <c r="S37" s="247">
        <v>298121.67</v>
      </c>
    </row>
    <row r="38" spans="1:19" ht="15">
      <c r="A38" s="237">
        <v>26</v>
      </c>
      <c r="B38" s="320" t="s">
        <v>209</v>
      </c>
      <c r="C38" s="247">
        <v>18</v>
      </c>
      <c r="D38" s="247">
        <v>38</v>
      </c>
      <c r="E38" s="247">
        <v>1002</v>
      </c>
      <c r="F38" s="247">
        <v>301</v>
      </c>
      <c r="G38" s="247">
        <v>518</v>
      </c>
      <c r="H38" s="245">
        <v>2191810</v>
      </c>
      <c r="I38" s="245">
        <v>204535</v>
      </c>
      <c r="J38" s="247"/>
      <c r="K38" s="247"/>
      <c r="L38" s="247">
        <v>16</v>
      </c>
      <c r="M38" s="248">
        <v>13</v>
      </c>
      <c r="N38" s="248">
        <v>226</v>
      </c>
      <c r="O38" s="248">
        <v>219</v>
      </c>
      <c r="P38" s="247">
        <v>335</v>
      </c>
      <c r="Q38" s="247">
        <v>335</v>
      </c>
      <c r="R38" s="247">
        <v>3091949</v>
      </c>
      <c r="S38" s="248">
        <v>39378</v>
      </c>
    </row>
    <row r="39" spans="1:19" ht="15">
      <c r="A39" s="237">
        <v>27</v>
      </c>
      <c r="B39" s="239" t="s">
        <v>210</v>
      </c>
      <c r="C39" s="247">
        <v>45</v>
      </c>
      <c r="D39" s="247">
        <v>129</v>
      </c>
      <c r="E39" s="247">
        <v>3834</v>
      </c>
      <c r="F39" s="247">
        <v>920</v>
      </c>
      <c r="G39" s="247">
        <v>2143</v>
      </c>
      <c r="H39" s="245">
        <v>9109265</v>
      </c>
      <c r="I39" s="245">
        <v>879860</v>
      </c>
      <c r="J39" s="247"/>
      <c r="K39" s="247"/>
      <c r="L39" s="247">
        <v>19</v>
      </c>
      <c r="M39" s="247">
        <v>15</v>
      </c>
      <c r="N39" s="248">
        <v>171</v>
      </c>
      <c r="O39" s="248">
        <v>115</v>
      </c>
      <c r="P39" s="247">
        <v>251</v>
      </c>
      <c r="Q39" s="247">
        <v>191</v>
      </c>
      <c r="R39" s="247">
        <v>11279544</v>
      </c>
      <c r="S39" s="247">
        <v>5727895</v>
      </c>
    </row>
    <row r="40" spans="1:19" ht="15">
      <c r="A40" s="237">
        <v>28</v>
      </c>
      <c r="B40" s="239" t="s">
        <v>211</v>
      </c>
      <c r="C40" s="247">
        <v>7</v>
      </c>
      <c r="D40" s="247">
        <v>9</v>
      </c>
      <c r="E40" s="247">
        <v>681</v>
      </c>
      <c r="F40" s="247">
        <v>191</v>
      </c>
      <c r="G40" s="247">
        <v>338</v>
      </c>
      <c r="H40" s="245">
        <v>156000</v>
      </c>
      <c r="I40" s="245">
        <v>6000</v>
      </c>
      <c r="J40" s="247"/>
      <c r="K40" s="247"/>
      <c r="L40" s="247">
        <v>6</v>
      </c>
      <c r="M40" s="247">
        <v>3</v>
      </c>
      <c r="N40" s="248">
        <v>166</v>
      </c>
      <c r="O40" s="248">
        <v>21</v>
      </c>
      <c r="P40" s="247">
        <v>21</v>
      </c>
      <c r="Q40" s="247">
        <v>21</v>
      </c>
      <c r="R40" s="247">
        <v>186106</v>
      </c>
      <c r="S40" s="247">
        <v>26604</v>
      </c>
    </row>
    <row r="41" spans="1:19" ht="15.75">
      <c r="A41" s="237">
        <v>29</v>
      </c>
      <c r="B41" s="239" t="s">
        <v>212</v>
      </c>
      <c r="C41" s="247">
        <v>6</v>
      </c>
      <c r="D41" s="247">
        <v>7</v>
      </c>
      <c r="E41" s="247">
        <v>344</v>
      </c>
      <c r="F41" s="247">
        <v>76</v>
      </c>
      <c r="G41" s="247">
        <v>167</v>
      </c>
      <c r="H41" s="245">
        <v>70380</v>
      </c>
      <c r="I41" s="342">
        <v>0</v>
      </c>
      <c r="J41" s="247"/>
      <c r="K41" s="247"/>
      <c r="L41" s="247">
        <v>7</v>
      </c>
      <c r="M41" s="247">
        <v>5</v>
      </c>
      <c r="N41" s="248">
        <v>123</v>
      </c>
      <c r="O41" s="248">
        <v>81</v>
      </c>
      <c r="P41" s="247">
        <v>183</v>
      </c>
      <c r="Q41" s="247">
        <v>84</v>
      </c>
      <c r="R41" s="247">
        <v>427775</v>
      </c>
      <c r="S41" s="247">
        <v>194739</v>
      </c>
    </row>
    <row r="42" spans="1:19" ht="15">
      <c r="A42" s="237">
        <v>30</v>
      </c>
      <c r="B42" s="239" t="s">
        <v>213</v>
      </c>
      <c r="C42" s="247">
        <v>4</v>
      </c>
      <c r="D42" s="247">
        <v>20</v>
      </c>
      <c r="E42" s="247">
        <v>501</v>
      </c>
      <c r="F42" s="247">
        <v>67</v>
      </c>
      <c r="G42" s="247">
        <v>266</v>
      </c>
      <c r="H42" s="366">
        <v>0</v>
      </c>
      <c r="I42" s="366">
        <v>0</v>
      </c>
      <c r="J42" s="247"/>
      <c r="K42" s="247"/>
      <c r="L42" s="247">
        <v>2</v>
      </c>
      <c r="M42" s="247">
        <v>3</v>
      </c>
      <c r="N42" s="248">
        <v>91</v>
      </c>
      <c r="O42" s="248">
        <v>91</v>
      </c>
      <c r="P42" s="248">
        <v>92</v>
      </c>
      <c r="Q42" s="248">
        <v>92</v>
      </c>
      <c r="R42" s="248">
        <v>612392</v>
      </c>
      <c r="S42" s="248">
        <v>128603</v>
      </c>
    </row>
    <row r="43" spans="1:19" ht="21" customHeight="1">
      <c r="A43" s="237">
        <v>31</v>
      </c>
      <c r="B43" s="239" t="s">
        <v>214</v>
      </c>
      <c r="C43" s="247">
        <v>26</v>
      </c>
      <c r="D43" s="247">
        <v>58</v>
      </c>
      <c r="E43" s="247">
        <v>908</v>
      </c>
      <c r="F43" s="247">
        <v>256</v>
      </c>
      <c r="G43" s="247">
        <v>377</v>
      </c>
      <c r="H43" s="272">
        <v>1893556.727</v>
      </c>
      <c r="I43" s="272">
        <v>184084.287</v>
      </c>
      <c r="J43" s="247"/>
      <c r="K43" s="247"/>
      <c r="L43" s="247">
        <v>14</v>
      </c>
      <c r="M43" s="247">
        <v>11</v>
      </c>
      <c r="N43" s="247">
        <v>222</v>
      </c>
      <c r="O43" s="247">
        <v>94</v>
      </c>
      <c r="P43" s="247">
        <v>438</v>
      </c>
      <c r="Q43" s="247">
        <v>438</v>
      </c>
      <c r="R43" s="247">
        <v>15763036</v>
      </c>
      <c r="S43" s="247">
        <v>13355742</v>
      </c>
    </row>
    <row r="44" spans="1:19" ht="15">
      <c r="A44" s="237">
        <v>32</v>
      </c>
      <c r="B44" s="239" t="s">
        <v>215</v>
      </c>
      <c r="C44" s="247">
        <v>22</v>
      </c>
      <c r="D44" s="247">
        <v>34</v>
      </c>
      <c r="E44" s="247">
        <v>1025</v>
      </c>
      <c r="F44" s="247">
        <v>611</v>
      </c>
      <c r="G44" s="247">
        <v>158</v>
      </c>
      <c r="H44" s="245">
        <v>3067500</v>
      </c>
      <c r="I44" s="245">
        <v>135374</v>
      </c>
      <c r="J44" s="247"/>
      <c r="K44" s="247"/>
      <c r="L44" s="247">
        <v>17</v>
      </c>
      <c r="M44" s="247">
        <v>7</v>
      </c>
      <c r="N44" s="248">
        <v>151</v>
      </c>
      <c r="O44" s="248">
        <v>83</v>
      </c>
      <c r="P44" s="247">
        <v>201</v>
      </c>
      <c r="Q44" s="247">
        <v>195</v>
      </c>
      <c r="R44" s="247">
        <v>4532474</v>
      </c>
      <c r="S44" s="247">
        <v>2718682</v>
      </c>
    </row>
    <row r="45" spans="1:19" ht="15">
      <c r="A45" s="237">
        <v>33</v>
      </c>
      <c r="B45" s="239" t="s">
        <v>216</v>
      </c>
      <c r="C45" s="247">
        <v>2</v>
      </c>
      <c r="D45" s="247">
        <v>6</v>
      </c>
      <c r="E45" s="247">
        <f>313</f>
        <v>313</v>
      </c>
      <c r="F45" s="247">
        <v>95</v>
      </c>
      <c r="G45" s="247">
        <v>130</v>
      </c>
      <c r="H45" s="245">
        <v>30300</v>
      </c>
      <c r="I45" s="245">
        <v>3030</v>
      </c>
      <c r="J45" s="247"/>
      <c r="K45" s="247"/>
      <c r="L45" s="247">
        <v>8</v>
      </c>
      <c r="M45" s="247">
        <v>7</v>
      </c>
      <c r="N45" s="248">
        <v>252</v>
      </c>
      <c r="O45" s="248">
        <v>142</v>
      </c>
      <c r="P45" s="247">
        <v>170</v>
      </c>
      <c r="Q45" s="247">
        <v>153</v>
      </c>
      <c r="R45" s="315">
        <v>456924001</v>
      </c>
      <c r="S45" s="315">
        <v>46406052</v>
      </c>
    </row>
    <row r="46" spans="1:19" ht="15">
      <c r="A46" s="237">
        <v>34</v>
      </c>
      <c r="B46" s="239" t="s">
        <v>217</v>
      </c>
      <c r="C46" s="247">
        <v>0</v>
      </c>
      <c r="D46" s="247">
        <v>8</v>
      </c>
      <c r="E46" s="247">
        <v>7</v>
      </c>
      <c r="F46" s="247"/>
      <c r="G46" s="247">
        <v>7</v>
      </c>
      <c r="H46" s="245"/>
      <c r="I46" s="245"/>
      <c r="J46" s="247"/>
      <c r="K46" s="247"/>
      <c r="L46" s="247">
        <v>1</v>
      </c>
      <c r="M46" s="247">
        <v>1</v>
      </c>
      <c r="N46" s="248">
        <v>32</v>
      </c>
      <c r="O46" s="248">
        <v>31</v>
      </c>
      <c r="P46" s="247">
        <v>77</v>
      </c>
      <c r="Q46" s="247">
        <v>77</v>
      </c>
      <c r="R46" s="247">
        <v>129022</v>
      </c>
      <c r="S46" s="247">
        <v>64511</v>
      </c>
    </row>
    <row r="47" spans="1:19" ht="15">
      <c r="A47" s="237">
        <v>35</v>
      </c>
      <c r="B47" s="239" t="s">
        <v>218</v>
      </c>
      <c r="C47" s="248">
        <v>38</v>
      </c>
      <c r="D47" s="247">
        <v>69</v>
      </c>
      <c r="E47" s="247">
        <v>1201</v>
      </c>
      <c r="F47" s="247">
        <v>416</v>
      </c>
      <c r="G47" s="247">
        <v>463</v>
      </c>
      <c r="H47" s="245">
        <v>1478252</v>
      </c>
      <c r="I47" s="245">
        <v>116949</v>
      </c>
      <c r="J47" s="247"/>
      <c r="K47" s="247"/>
      <c r="L47" s="247">
        <v>2</v>
      </c>
      <c r="M47" s="247">
        <v>6</v>
      </c>
      <c r="N47" s="248">
        <v>702</v>
      </c>
      <c r="O47" s="248">
        <v>231</v>
      </c>
      <c r="P47" s="247">
        <v>241</v>
      </c>
      <c r="Q47" s="247">
        <v>241</v>
      </c>
      <c r="R47" s="247">
        <v>2533814</v>
      </c>
      <c r="S47" s="247">
        <v>1067525</v>
      </c>
    </row>
    <row r="48" spans="1:19" ht="15">
      <c r="A48" s="237">
        <v>36</v>
      </c>
      <c r="B48" s="240" t="s">
        <v>219</v>
      </c>
      <c r="C48" s="247">
        <v>9</v>
      </c>
      <c r="D48" s="247">
        <v>18</v>
      </c>
      <c r="E48" s="247">
        <v>307</v>
      </c>
      <c r="F48" s="247">
        <v>171</v>
      </c>
      <c r="G48" s="247">
        <v>95</v>
      </c>
      <c r="H48" s="314">
        <v>278880000</v>
      </c>
      <c r="I48" s="314"/>
      <c r="J48" s="247"/>
      <c r="K48" s="247"/>
      <c r="L48" s="247">
        <v>12</v>
      </c>
      <c r="M48" s="247">
        <v>4</v>
      </c>
      <c r="N48" s="248">
        <v>47</v>
      </c>
      <c r="O48" s="248">
        <v>37</v>
      </c>
      <c r="P48" s="247">
        <v>407</v>
      </c>
      <c r="Q48" s="247">
        <v>399</v>
      </c>
      <c r="R48" s="247">
        <v>11190958</v>
      </c>
      <c r="S48" s="247">
        <v>5188934</v>
      </c>
    </row>
    <row r="49" spans="1:19" ht="15">
      <c r="A49" s="237">
        <v>37</v>
      </c>
      <c r="B49" s="240" t="s">
        <v>220</v>
      </c>
      <c r="C49" s="247">
        <v>6</v>
      </c>
      <c r="D49" s="247">
        <v>15</v>
      </c>
      <c r="E49" s="247">
        <v>414</v>
      </c>
      <c r="F49" s="247">
        <v>160</v>
      </c>
      <c r="G49" s="247">
        <v>113</v>
      </c>
      <c r="H49" s="245">
        <v>325600</v>
      </c>
      <c r="I49" s="245">
        <v>30000</v>
      </c>
      <c r="J49" s="247"/>
      <c r="K49" s="247"/>
      <c r="L49" s="247">
        <v>5</v>
      </c>
      <c r="M49" s="247">
        <v>7</v>
      </c>
      <c r="N49" s="248">
        <v>103</v>
      </c>
      <c r="O49" s="248">
        <v>65</v>
      </c>
      <c r="P49" s="247">
        <v>240</v>
      </c>
      <c r="Q49" s="247">
        <v>240</v>
      </c>
      <c r="R49" s="247">
        <v>18218993</v>
      </c>
      <c r="S49" s="247">
        <v>17286916</v>
      </c>
    </row>
    <row r="50" spans="1:19" ht="15">
      <c r="A50" s="237">
        <v>38</v>
      </c>
      <c r="B50" s="240" t="s">
        <v>221</v>
      </c>
      <c r="C50" s="247">
        <v>33</v>
      </c>
      <c r="D50" s="247">
        <v>57</v>
      </c>
      <c r="E50" s="247">
        <v>1109</v>
      </c>
      <c r="F50" s="247">
        <v>322</v>
      </c>
      <c r="G50" s="247">
        <v>580</v>
      </c>
      <c r="H50" s="245">
        <v>597083</v>
      </c>
      <c r="I50" s="245">
        <v>54202</v>
      </c>
      <c r="J50" s="247"/>
      <c r="K50" s="247"/>
      <c r="L50" s="247">
        <v>13</v>
      </c>
      <c r="M50" s="247">
        <v>10</v>
      </c>
      <c r="N50" s="248">
        <v>703</v>
      </c>
      <c r="O50" s="248">
        <v>137</v>
      </c>
      <c r="P50" s="247">
        <v>492</v>
      </c>
      <c r="Q50" s="247">
        <v>174</v>
      </c>
      <c r="R50" s="247">
        <v>3248800</v>
      </c>
      <c r="S50" s="247">
        <v>678731</v>
      </c>
    </row>
    <row r="51" spans="1:19" ht="15">
      <c r="A51" s="237">
        <v>39</v>
      </c>
      <c r="B51" s="240" t="s">
        <v>222</v>
      </c>
      <c r="C51" s="247">
        <v>18</v>
      </c>
      <c r="D51" s="247">
        <v>40</v>
      </c>
      <c r="E51" s="247">
        <v>626</v>
      </c>
      <c r="F51" s="247">
        <v>194</v>
      </c>
      <c r="G51" s="247">
        <v>348</v>
      </c>
      <c r="H51" s="245">
        <v>215120</v>
      </c>
      <c r="I51" s="245">
        <v>8718</v>
      </c>
      <c r="J51" s="247"/>
      <c r="K51" s="247"/>
      <c r="L51" s="247">
        <v>1</v>
      </c>
      <c r="M51" s="247">
        <v>3</v>
      </c>
      <c r="N51" s="248">
        <v>74</v>
      </c>
      <c r="O51" s="248">
        <v>15</v>
      </c>
      <c r="P51" s="247">
        <v>61</v>
      </c>
      <c r="Q51" s="247">
        <v>61</v>
      </c>
      <c r="R51" s="247">
        <v>373786</v>
      </c>
      <c r="S51" s="247">
        <v>112136</v>
      </c>
    </row>
    <row r="52" spans="1:19" ht="15">
      <c r="A52" s="237">
        <v>40</v>
      </c>
      <c r="B52" s="240" t="s">
        <v>223</v>
      </c>
      <c r="C52" s="247">
        <v>29</v>
      </c>
      <c r="D52" s="247">
        <v>72</v>
      </c>
      <c r="E52" s="247">
        <v>1012</v>
      </c>
      <c r="F52" s="247">
        <v>328</v>
      </c>
      <c r="G52" s="247">
        <v>315</v>
      </c>
      <c r="H52" s="245">
        <v>1319406</v>
      </c>
      <c r="I52" s="245">
        <v>45250</v>
      </c>
      <c r="J52" s="247"/>
      <c r="K52" s="247"/>
      <c r="L52" s="247">
        <v>27</v>
      </c>
      <c r="M52" s="247">
        <v>12</v>
      </c>
      <c r="N52" s="248">
        <v>230</v>
      </c>
      <c r="O52" s="248">
        <v>179</v>
      </c>
      <c r="P52" s="247">
        <v>577</v>
      </c>
      <c r="Q52" s="247">
        <v>519</v>
      </c>
      <c r="R52" s="247">
        <v>26541381</v>
      </c>
      <c r="S52" s="247">
        <v>24880685</v>
      </c>
    </row>
    <row r="53" spans="1:20" ht="15">
      <c r="A53" s="237">
        <v>41</v>
      </c>
      <c r="B53" s="240" t="s">
        <v>224</v>
      </c>
      <c r="C53" s="247">
        <v>11</v>
      </c>
      <c r="D53" s="247">
        <v>24</v>
      </c>
      <c r="E53" s="247">
        <v>273</v>
      </c>
      <c r="F53" s="247">
        <v>90</v>
      </c>
      <c r="G53" s="247">
        <v>110</v>
      </c>
      <c r="H53" s="245">
        <v>199800</v>
      </c>
      <c r="I53" s="245">
        <v>1850</v>
      </c>
      <c r="J53" s="247"/>
      <c r="K53" s="247"/>
      <c r="L53" s="247">
        <v>2</v>
      </c>
      <c r="M53" s="247">
        <v>4</v>
      </c>
      <c r="N53" s="248">
        <v>63</v>
      </c>
      <c r="O53" s="248">
        <v>29</v>
      </c>
      <c r="P53" s="247">
        <v>64</v>
      </c>
      <c r="Q53" s="247">
        <v>31</v>
      </c>
      <c r="R53" s="247">
        <v>301770</v>
      </c>
      <c r="S53" s="247">
        <v>34193</v>
      </c>
      <c r="T53" t="s">
        <v>287</v>
      </c>
    </row>
    <row r="54" spans="1:19" ht="15.75">
      <c r="A54" s="237">
        <v>42</v>
      </c>
      <c r="B54" s="240" t="s">
        <v>225</v>
      </c>
      <c r="C54" s="185">
        <v>12</v>
      </c>
      <c r="D54" s="185">
        <v>19</v>
      </c>
      <c r="E54" s="303"/>
      <c r="F54" s="303"/>
      <c r="G54" s="303"/>
      <c r="H54" s="304"/>
      <c r="I54" s="304"/>
      <c r="J54" s="247"/>
      <c r="K54" s="247"/>
      <c r="L54" s="185">
        <v>9</v>
      </c>
      <c r="M54" s="185">
        <v>2</v>
      </c>
      <c r="N54" s="262">
        <v>81</v>
      </c>
      <c r="O54" s="262">
        <v>55</v>
      </c>
      <c r="P54" s="185">
        <v>262</v>
      </c>
      <c r="Q54" s="185">
        <v>262</v>
      </c>
      <c r="R54" s="185">
        <v>28043368</v>
      </c>
      <c r="S54" s="185">
        <v>26951041</v>
      </c>
    </row>
    <row r="55" spans="1:19" ht="15.75">
      <c r="A55" s="237">
        <v>43</v>
      </c>
      <c r="B55" s="240" t="s">
        <v>226</v>
      </c>
      <c r="C55" s="185">
        <v>12</v>
      </c>
      <c r="D55" s="185">
        <v>42</v>
      </c>
      <c r="E55" s="185">
        <v>372</v>
      </c>
      <c r="F55" s="185">
        <v>190</v>
      </c>
      <c r="G55" s="185">
        <v>84</v>
      </c>
      <c r="H55" s="88">
        <v>935318</v>
      </c>
      <c r="I55" s="88">
        <v>73431</v>
      </c>
      <c r="J55" s="247"/>
      <c r="K55" s="247"/>
      <c r="L55" s="185">
        <v>2</v>
      </c>
      <c r="M55" s="185">
        <v>5</v>
      </c>
      <c r="N55" s="262">
        <v>127</v>
      </c>
      <c r="O55" s="262">
        <v>92</v>
      </c>
      <c r="P55" s="185">
        <v>103</v>
      </c>
      <c r="Q55" s="185">
        <v>92</v>
      </c>
      <c r="R55" s="185">
        <v>658264</v>
      </c>
      <c r="S55" s="185">
        <v>51197</v>
      </c>
    </row>
    <row r="56" spans="1:19" ht="15.75">
      <c r="A56" s="237">
        <v>44</v>
      </c>
      <c r="B56" s="240" t="s">
        <v>227</v>
      </c>
      <c r="C56" s="185">
        <v>9</v>
      </c>
      <c r="D56" s="185">
        <v>14</v>
      </c>
      <c r="E56" s="185">
        <v>378</v>
      </c>
      <c r="F56" s="185">
        <v>188</v>
      </c>
      <c r="G56" s="185">
        <v>112</v>
      </c>
      <c r="H56" s="88">
        <v>402000</v>
      </c>
      <c r="I56" s="88">
        <v>24828</v>
      </c>
      <c r="J56" s="247"/>
      <c r="K56" s="247"/>
      <c r="L56" s="185">
        <v>15</v>
      </c>
      <c r="M56" s="185">
        <v>9</v>
      </c>
      <c r="N56" s="262">
        <v>204</v>
      </c>
      <c r="O56" s="262">
        <v>78</v>
      </c>
      <c r="P56" s="185">
        <v>114</v>
      </c>
      <c r="Q56" s="185">
        <v>114</v>
      </c>
      <c r="R56" s="185">
        <v>6338950</v>
      </c>
      <c r="S56" s="185">
        <v>4335334</v>
      </c>
    </row>
    <row r="57" spans="1:19" s="95" customFormat="1" ht="15.75">
      <c r="A57" s="237">
        <v>45</v>
      </c>
      <c r="B57" s="241" t="s">
        <v>233</v>
      </c>
      <c r="C57" s="185">
        <v>23</v>
      </c>
      <c r="D57" s="185">
        <v>32</v>
      </c>
      <c r="E57" s="185">
        <v>280</v>
      </c>
      <c r="F57" s="185">
        <v>88</v>
      </c>
      <c r="G57" s="185">
        <v>103</v>
      </c>
      <c r="H57" s="88">
        <v>246000</v>
      </c>
      <c r="I57" s="88">
        <v>9469</v>
      </c>
      <c r="J57" s="247"/>
      <c r="K57" s="247"/>
      <c r="L57" s="185">
        <v>7</v>
      </c>
      <c r="M57" s="185">
        <v>4</v>
      </c>
      <c r="N57" s="262">
        <v>83</v>
      </c>
      <c r="O57" s="262">
        <v>69</v>
      </c>
      <c r="P57" s="185">
        <v>133</v>
      </c>
      <c r="Q57" s="185">
        <v>130</v>
      </c>
      <c r="R57" s="185">
        <v>919497.6</v>
      </c>
      <c r="S57" s="185">
        <v>539900</v>
      </c>
    </row>
    <row r="58" spans="1:19" s="95" customFormat="1" ht="15.75">
      <c r="A58" s="237">
        <v>46</v>
      </c>
      <c r="B58" s="241" t="s">
        <v>234</v>
      </c>
      <c r="C58" s="185">
        <v>16</v>
      </c>
      <c r="D58" s="185">
        <v>35</v>
      </c>
      <c r="E58" s="185">
        <v>172</v>
      </c>
      <c r="F58" s="185">
        <v>140</v>
      </c>
      <c r="G58" s="185">
        <v>0</v>
      </c>
      <c r="H58" s="333"/>
      <c r="I58" s="333"/>
      <c r="J58" s="273"/>
      <c r="K58" s="273"/>
      <c r="L58" s="185">
        <v>20</v>
      </c>
      <c r="M58" s="185">
        <v>5</v>
      </c>
      <c r="N58" s="262">
        <v>345</v>
      </c>
      <c r="O58" s="262">
        <v>281</v>
      </c>
      <c r="P58" s="185">
        <v>485</v>
      </c>
      <c r="Q58" s="185">
        <v>306</v>
      </c>
      <c r="R58" s="185">
        <v>64677832</v>
      </c>
      <c r="S58" s="185">
        <v>61736084</v>
      </c>
    </row>
    <row r="59" spans="1:19" s="95" customFormat="1" ht="15.75">
      <c r="A59" s="237">
        <v>47</v>
      </c>
      <c r="B59" s="241" t="s">
        <v>235</v>
      </c>
      <c r="C59" s="185">
        <v>13</v>
      </c>
      <c r="D59" s="185">
        <v>23</v>
      </c>
      <c r="E59" s="185">
        <v>803</v>
      </c>
      <c r="F59" s="185">
        <v>150</v>
      </c>
      <c r="G59" s="185">
        <v>551</v>
      </c>
      <c r="H59" s="88">
        <v>415127</v>
      </c>
      <c r="I59" s="88">
        <v>45320</v>
      </c>
      <c r="J59" s="247"/>
      <c r="K59" s="247"/>
      <c r="L59" s="185">
        <v>20</v>
      </c>
      <c r="M59" s="185">
        <v>14</v>
      </c>
      <c r="N59" s="262">
        <v>87</v>
      </c>
      <c r="O59" s="262">
        <v>59</v>
      </c>
      <c r="P59" s="185">
        <v>351</v>
      </c>
      <c r="Q59" s="185">
        <v>346</v>
      </c>
      <c r="R59" s="185">
        <v>2497140.415</v>
      </c>
      <c r="S59" s="185">
        <v>1640470.916</v>
      </c>
    </row>
    <row r="60" spans="1:19" s="95" customFormat="1" ht="15.75">
      <c r="A60" s="237">
        <v>48</v>
      </c>
      <c r="B60" s="241" t="s">
        <v>236</v>
      </c>
      <c r="C60" s="185">
        <v>24</v>
      </c>
      <c r="D60" s="185">
        <v>51</v>
      </c>
      <c r="E60" s="185">
        <v>1056</v>
      </c>
      <c r="F60" s="185">
        <v>445</v>
      </c>
      <c r="G60" s="185">
        <v>339</v>
      </c>
      <c r="H60" s="88">
        <v>6084657</v>
      </c>
      <c r="I60" s="88">
        <v>479459</v>
      </c>
      <c r="J60" s="247"/>
      <c r="K60" s="247"/>
      <c r="L60" s="185">
        <v>15</v>
      </c>
      <c r="M60" s="185">
        <v>10</v>
      </c>
      <c r="N60" s="262">
        <v>209</v>
      </c>
      <c r="O60" s="262">
        <v>204</v>
      </c>
      <c r="P60" s="185">
        <v>249</v>
      </c>
      <c r="Q60" s="185">
        <v>246</v>
      </c>
      <c r="R60" s="185">
        <v>9202605</v>
      </c>
      <c r="S60" s="185">
        <v>4898381</v>
      </c>
    </row>
    <row r="61" spans="1:19" s="95" customFormat="1" ht="15.75">
      <c r="A61" s="237">
        <v>49</v>
      </c>
      <c r="B61" s="241" t="s">
        <v>237</v>
      </c>
      <c r="C61" s="185">
        <v>3</v>
      </c>
      <c r="D61" s="185">
        <v>11</v>
      </c>
      <c r="E61" s="185">
        <v>166</v>
      </c>
      <c r="F61" s="185">
        <v>66</v>
      </c>
      <c r="G61" s="185">
        <v>50</v>
      </c>
      <c r="H61" s="88">
        <v>308159</v>
      </c>
      <c r="I61" s="88">
        <v>27816</v>
      </c>
      <c r="J61" s="247"/>
      <c r="K61" s="247"/>
      <c r="L61" s="185">
        <v>10</v>
      </c>
      <c r="M61" s="185">
        <v>8</v>
      </c>
      <c r="N61" s="262">
        <v>59</v>
      </c>
      <c r="O61" s="262">
        <v>54</v>
      </c>
      <c r="P61" s="185">
        <v>323</v>
      </c>
      <c r="Q61" s="185">
        <v>251</v>
      </c>
      <c r="R61" s="185">
        <v>8684640</v>
      </c>
      <c r="S61" s="185">
        <v>6799247</v>
      </c>
    </row>
    <row r="62" spans="1:19" s="95" customFormat="1" ht="15.75">
      <c r="A62" s="237">
        <v>50</v>
      </c>
      <c r="B62" s="241" t="s">
        <v>238</v>
      </c>
      <c r="C62" s="185">
        <v>24</v>
      </c>
      <c r="D62" s="185">
        <v>28</v>
      </c>
      <c r="E62" s="185">
        <v>1472</v>
      </c>
      <c r="F62" s="185">
        <v>725</v>
      </c>
      <c r="G62" s="185">
        <v>672</v>
      </c>
      <c r="H62" s="88">
        <v>1729650</v>
      </c>
      <c r="I62" s="88">
        <v>224840</v>
      </c>
      <c r="J62" s="247"/>
      <c r="K62" s="247"/>
      <c r="L62" s="185">
        <v>9</v>
      </c>
      <c r="M62" s="185">
        <v>2</v>
      </c>
      <c r="N62" s="262">
        <v>196</v>
      </c>
      <c r="O62" s="262">
        <v>35</v>
      </c>
      <c r="P62" s="185">
        <v>39</v>
      </c>
      <c r="Q62" s="185">
        <v>39</v>
      </c>
      <c r="R62" s="185">
        <v>748178.154</v>
      </c>
      <c r="S62" s="185">
        <v>360913.833</v>
      </c>
    </row>
    <row r="63" spans="1:19" s="95" customFormat="1" ht="15.75">
      <c r="A63" s="237">
        <v>51</v>
      </c>
      <c r="B63" s="242" t="s">
        <v>239</v>
      </c>
      <c r="C63" s="185">
        <v>5</v>
      </c>
      <c r="D63" s="185">
        <v>12</v>
      </c>
      <c r="E63" s="185">
        <v>370</v>
      </c>
      <c r="F63" s="185">
        <v>268</v>
      </c>
      <c r="G63" s="185">
        <v>65</v>
      </c>
      <c r="H63" s="88">
        <v>32000</v>
      </c>
      <c r="I63" s="88">
        <v>2700</v>
      </c>
      <c r="J63" s="247"/>
      <c r="K63" s="247"/>
      <c r="L63" s="185">
        <v>1</v>
      </c>
      <c r="M63" s="185">
        <v>3</v>
      </c>
      <c r="N63" s="262">
        <v>76</v>
      </c>
      <c r="O63" s="262">
        <v>69</v>
      </c>
      <c r="P63" s="185">
        <v>69</v>
      </c>
      <c r="Q63" s="185">
        <v>69</v>
      </c>
      <c r="R63" s="185">
        <v>530914</v>
      </c>
      <c r="S63" s="185">
        <v>79093</v>
      </c>
    </row>
    <row r="64" spans="1:19" s="95" customFormat="1" ht="15.75">
      <c r="A64" s="237">
        <v>52</v>
      </c>
      <c r="B64" s="242" t="s">
        <v>240</v>
      </c>
      <c r="C64" s="185">
        <v>24</v>
      </c>
      <c r="D64" s="185">
        <v>34</v>
      </c>
      <c r="E64" s="185">
        <v>1401</v>
      </c>
      <c r="F64" s="185">
        <v>342</v>
      </c>
      <c r="G64" s="185">
        <v>709</v>
      </c>
      <c r="H64" s="88">
        <v>1278442</v>
      </c>
      <c r="I64" s="88">
        <v>110765</v>
      </c>
      <c r="J64" s="247"/>
      <c r="K64" s="247"/>
      <c r="L64" s="185">
        <v>7</v>
      </c>
      <c r="M64" s="185">
        <v>9</v>
      </c>
      <c r="N64" s="262">
        <v>407</v>
      </c>
      <c r="O64" s="262">
        <v>136</v>
      </c>
      <c r="P64" s="185">
        <v>244</v>
      </c>
      <c r="Q64" s="185">
        <v>238</v>
      </c>
      <c r="R64" s="185">
        <v>11933896</v>
      </c>
      <c r="S64" s="185">
        <v>8276950</v>
      </c>
    </row>
    <row r="65" spans="1:19" s="95" customFormat="1" ht="15.75">
      <c r="A65" s="237">
        <v>53</v>
      </c>
      <c r="B65" s="242" t="s">
        <v>241</v>
      </c>
      <c r="C65" s="185">
        <v>12</v>
      </c>
      <c r="D65" s="185">
        <v>50</v>
      </c>
      <c r="E65" s="185">
        <v>725</v>
      </c>
      <c r="F65" s="185">
        <v>312</v>
      </c>
      <c r="G65" s="185">
        <v>267</v>
      </c>
      <c r="H65" s="294"/>
      <c r="I65" s="294"/>
      <c r="J65" s="247"/>
      <c r="K65" s="247"/>
      <c r="L65" s="185">
        <v>12</v>
      </c>
      <c r="M65" s="185">
        <v>8</v>
      </c>
      <c r="N65" s="262">
        <v>222</v>
      </c>
      <c r="O65" s="262">
        <v>204</v>
      </c>
      <c r="P65" s="185">
        <v>247</v>
      </c>
      <c r="Q65" s="185">
        <v>247</v>
      </c>
      <c r="R65" s="185">
        <v>1238772.285</v>
      </c>
      <c r="S65" s="185">
        <v>420665.587</v>
      </c>
    </row>
    <row r="66" spans="1:19" s="95" customFormat="1" ht="15.75">
      <c r="A66" s="237">
        <v>54</v>
      </c>
      <c r="B66" s="242" t="s">
        <v>242</v>
      </c>
      <c r="C66" s="185">
        <v>19</v>
      </c>
      <c r="D66" s="185">
        <v>29</v>
      </c>
      <c r="E66" s="185">
        <v>518</v>
      </c>
      <c r="F66" s="185">
        <v>326</v>
      </c>
      <c r="G66" s="185">
        <v>192</v>
      </c>
      <c r="H66" s="294"/>
      <c r="I66" s="294"/>
      <c r="J66" s="247"/>
      <c r="K66" s="247"/>
      <c r="L66" s="185">
        <v>1</v>
      </c>
      <c r="M66" s="185">
        <v>2</v>
      </c>
      <c r="N66" s="262">
        <v>139</v>
      </c>
      <c r="O66" s="262">
        <v>121</v>
      </c>
      <c r="P66" s="185">
        <v>131</v>
      </c>
      <c r="Q66" s="185">
        <v>131</v>
      </c>
      <c r="R66" s="291">
        <v>766490250</v>
      </c>
      <c r="S66" s="291">
        <v>229947075</v>
      </c>
    </row>
    <row r="67" spans="1:19" s="95" customFormat="1" ht="15.75">
      <c r="A67" s="237">
        <v>55</v>
      </c>
      <c r="B67" s="242" t="s">
        <v>243</v>
      </c>
      <c r="C67" s="185">
        <v>10</v>
      </c>
      <c r="D67" s="185">
        <v>28</v>
      </c>
      <c r="E67" s="185">
        <v>1084</v>
      </c>
      <c r="F67" s="185">
        <v>271</v>
      </c>
      <c r="G67" s="185">
        <v>679</v>
      </c>
      <c r="H67" s="88">
        <v>1034775</v>
      </c>
      <c r="I67" s="88">
        <v>59208</v>
      </c>
      <c r="J67" s="247"/>
      <c r="K67" s="247"/>
      <c r="L67" s="185">
        <v>9</v>
      </c>
      <c r="M67" s="185">
        <v>20</v>
      </c>
      <c r="N67" s="262">
        <v>409</v>
      </c>
      <c r="O67" s="262">
        <v>339</v>
      </c>
      <c r="P67" s="185">
        <v>382</v>
      </c>
      <c r="Q67" s="185">
        <v>339</v>
      </c>
      <c r="R67" s="185">
        <v>4797897</v>
      </c>
      <c r="S67" s="185">
        <v>612507</v>
      </c>
    </row>
    <row r="68" spans="1:19" s="95" customFormat="1" ht="24.75">
      <c r="A68" s="237">
        <v>56</v>
      </c>
      <c r="B68" s="242" t="s">
        <v>244</v>
      </c>
      <c r="C68" s="185">
        <v>17</v>
      </c>
      <c r="D68" s="185">
        <v>27</v>
      </c>
      <c r="E68" s="185">
        <v>670</v>
      </c>
      <c r="F68" s="185">
        <v>157</v>
      </c>
      <c r="G68" s="185">
        <v>354</v>
      </c>
      <c r="H68" s="294">
        <v>1204507048</v>
      </c>
      <c r="I68" s="294">
        <v>111943453</v>
      </c>
      <c r="J68" s="247"/>
      <c r="K68" s="247"/>
      <c r="L68" s="185">
        <v>5</v>
      </c>
      <c r="M68" s="185">
        <v>13</v>
      </c>
      <c r="N68" s="262">
        <v>533</v>
      </c>
      <c r="O68" s="262">
        <v>505</v>
      </c>
      <c r="P68" s="185">
        <v>505</v>
      </c>
      <c r="Q68" s="185">
        <v>505</v>
      </c>
      <c r="R68" s="185">
        <v>837926</v>
      </c>
      <c r="S68" s="185">
        <v>44229</v>
      </c>
    </row>
    <row r="69" spans="1:19" s="95" customFormat="1" ht="15.75">
      <c r="A69" s="237">
        <v>57</v>
      </c>
      <c r="B69" s="242" t="s">
        <v>245</v>
      </c>
      <c r="C69" s="185">
        <v>34</v>
      </c>
      <c r="D69" s="185">
        <v>56</v>
      </c>
      <c r="E69" s="185">
        <v>3879</v>
      </c>
      <c r="F69" s="185">
        <v>666</v>
      </c>
      <c r="G69" s="185">
        <v>2881</v>
      </c>
      <c r="H69" s="88">
        <v>1242873</v>
      </c>
      <c r="I69" s="88">
        <v>40536</v>
      </c>
      <c r="J69" s="247"/>
      <c r="K69" s="247"/>
      <c r="L69" s="185">
        <v>12</v>
      </c>
      <c r="M69" s="185">
        <v>3</v>
      </c>
      <c r="N69" s="262">
        <v>989</v>
      </c>
      <c r="O69" s="262">
        <v>165</v>
      </c>
      <c r="P69" s="185">
        <v>165</v>
      </c>
      <c r="Q69" s="185">
        <v>165</v>
      </c>
      <c r="R69" s="185">
        <v>26235344.014</v>
      </c>
      <c r="S69" s="185">
        <v>25223657.275</v>
      </c>
    </row>
    <row r="70" spans="1:19" s="95" customFormat="1" ht="24.75">
      <c r="A70" s="237">
        <v>58</v>
      </c>
      <c r="B70" s="242" t="s">
        <v>246</v>
      </c>
      <c r="C70" s="185">
        <f>1395-47</f>
        <v>1348</v>
      </c>
      <c r="D70" s="185">
        <v>3473</v>
      </c>
      <c r="E70" s="185">
        <v>63526</v>
      </c>
      <c r="F70" s="185">
        <v>3243</v>
      </c>
      <c r="G70" s="185">
        <v>52012</v>
      </c>
      <c r="H70" s="88">
        <v>1054525192</v>
      </c>
      <c r="I70" s="88">
        <v>157605767</v>
      </c>
      <c r="J70" s="247">
        <v>47</v>
      </c>
      <c r="K70" s="247"/>
      <c r="L70" s="185">
        <f>1+29+24</f>
        <v>54</v>
      </c>
      <c r="M70" s="185">
        <f>10+70</f>
        <v>80</v>
      </c>
      <c r="N70" s="262">
        <f>410+1469</f>
        <v>1879</v>
      </c>
      <c r="O70" s="262">
        <f>256+390</f>
        <v>646</v>
      </c>
      <c r="P70" s="185">
        <f>278+810+427</f>
        <v>1515</v>
      </c>
      <c r="Q70" s="185">
        <f>256+674+354</f>
        <v>1284</v>
      </c>
      <c r="R70" s="291">
        <f>6557555.984+36151171.911</f>
        <v>42708727.894999996</v>
      </c>
      <c r="S70" s="357">
        <v>0</v>
      </c>
    </row>
    <row r="71" spans="1:20" s="95" customFormat="1" ht="15.75">
      <c r="A71" s="237">
        <v>59</v>
      </c>
      <c r="B71" s="242" t="s">
        <v>247</v>
      </c>
      <c r="C71" s="185">
        <v>10</v>
      </c>
      <c r="D71" s="185">
        <v>15</v>
      </c>
      <c r="E71" s="185">
        <v>1332</v>
      </c>
      <c r="F71" s="185">
        <v>412</v>
      </c>
      <c r="G71" s="185">
        <v>920</v>
      </c>
      <c r="H71" s="185">
        <v>1600000</v>
      </c>
      <c r="I71" s="185">
        <v>160000</v>
      </c>
      <c r="J71" s="247"/>
      <c r="K71" s="247"/>
      <c r="L71" s="185">
        <v>3</v>
      </c>
      <c r="M71" s="185">
        <v>4</v>
      </c>
      <c r="N71" s="262">
        <v>564</v>
      </c>
      <c r="O71" s="262">
        <v>51</v>
      </c>
      <c r="P71" s="185">
        <v>124</v>
      </c>
      <c r="Q71" s="185">
        <v>124</v>
      </c>
      <c r="R71" s="185">
        <v>1746498.611</v>
      </c>
      <c r="S71" s="185">
        <v>1238325.339</v>
      </c>
      <c r="T71" s="95" t="s">
        <v>302</v>
      </c>
    </row>
    <row r="72" spans="1:19" s="95" customFormat="1" ht="15.75">
      <c r="A72" s="237">
        <v>60</v>
      </c>
      <c r="B72" s="242" t="s">
        <v>248</v>
      </c>
      <c r="C72" s="185">
        <v>9</v>
      </c>
      <c r="D72" s="185">
        <v>15</v>
      </c>
      <c r="E72" s="185">
        <v>403</v>
      </c>
      <c r="F72" s="185">
        <v>102</v>
      </c>
      <c r="G72" s="185">
        <v>238</v>
      </c>
      <c r="H72" s="88">
        <v>260200</v>
      </c>
      <c r="I72" s="346">
        <v>0</v>
      </c>
      <c r="J72" s="247"/>
      <c r="K72" s="247"/>
      <c r="L72" s="185">
        <v>1</v>
      </c>
      <c r="M72" s="185">
        <v>3</v>
      </c>
      <c r="N72" s="262">
        <v>60</v>
      </c>
      <c r="O72" s="262">
        <v>56</v>
      </c>
      <c r="P72" s="185">
        <v>315</v>
      </c>
      <c r="Q72" s="185">
        <v>311</v>
      </c>
      <c r="R72" s="291">
        <v>1434724612</v>
      </c>
      <c r="S72" s="291">
        <v>115186181</v>
      </c>
    </row>
    <row r="73" spans="1:19" s="103" customFormat="1" ht="15.75">
      <c r="A73" s="237">
        <v>61</v>
      </c>
      <c r="B73" s="242" t="s">
        <v>249</v>
      </c>
      <c r="C73" s="185">
        <v>33</v>
      </c>
      <c r="D73" s="185">
        <v>54</v>
      </c>
      <c r="E73" s="185">
        <v>1033</v>
      </c>
      <c r="F73" s="185">
        <v>387</v>
      </c>
      <c r="G73" s="185">
        <v>609</v>
      </c>
      <c r="H73" s="88">
        <v>978359.211</v>
      </c>
      <c r="I73" s="88">
        <v>73553.951</v>
      </c>
      <c r="J73" s="247"/>
      <c r="K73" s="247"/>
      <c r="L73" s="185">
        <v>13</v>
      </c>
      <c r="M73" s="185">
        <v>19</v>
      </c>
      <c r="N73" s="262">
        <v>337</v>
      </c>
      <c r="O73" s="262">
        <v>51</v>
      </c>
      <c r="P73" s="185">
        <v>780</v>
      </c>
      <c r="Q73" s="185">
        <v>231</v>
      </c>
      <c r="R73" s="185">
        <v>847928.175</v>
      </c>
      <c r="S73" s="185">
        <v>118949.723</v>
      </c>
    </row>
    <row r="74" spans="1:19" s="95" customFormat="1" ht="18.75" customHeight="1">
      <c r="A74" s="237">
        <v>62</v>
      </c>
      <c r="B74" s="242" t="s">
        <v>250</v>
      </c>
      <c r="C74" s="185">
        <v>11</v>
      </c>
      <c r="D74" s="185">
        <v>19</v>
      </c>
      <c r="E74" s="185">
        <v>820</v>
      </c>
      <c r="F74" s="185">
        <v>114</v>
      </c>
      <c r="G74" s="185">
        <v>427</v>
      </c>
      <c r="H74" s="88">
        <v>642592</v>
      </c>
      <c r="I74" s="88">
        <v>12600</v>
      </c>
      <c r="J74" s="247"/>
      <c r="K74" s="247"/>
      <c r="L74" s="185">
        <f>1+8</f>
        <v>9</v>
      </c>
      <c r="M74" s="185">
        <f>7+15</f>
        <v>22</v>
      </c>
      <c r="N74" s="262">
        <f>191+95</f>
        <v>286</v>
      </c>
      <c r="O74" s="262">
        <f>54+47</f>
        <v>101</v>
      </c>
      <c r="P74" s="185">
        <f>54+74</f>
        <v>128</v>
      </c>
      <c r="Q74" s="185">
        <f>54+48</f>
        <v>102</v>
      </c>
      <c r="R74" s="291">
        <f>189559900+1960289200</f>
        <v>2149849100</v>
      </c>
      <c r="S74" s="291">
        <f>56865000+93171750</f>
        <v>150036750</v>
      </c>
    </row>
    <row r="75" spans="1:19" s="95" customFormat="1" ht="15.75">
      <c r="A75" s="237">
        <v>63</v>
      </c>
      <c r="B75" s="242" t="s">
        <v>251</v>
      </c>
      <c r="C75" s="185">
        <v>6</v>
      </c>
      <c r="D75" s="185">
        <v>10</v>
      </c>
      <c r="E75" s="185">
        <v>276</v>
      </c>
      <c r="F75" s="185">
        <v>77</v>
      </c>
      <c r="G75" s="185">
        <v>102</v>
      </c>
      <c r="H75" s="88">
        <v>46260</v>
      </c>
      <c r="I75" s="88">
        <v>4885</v>
      </c>
      <c r="J75" s="247"/>
      <c r="K75" s="247"/>
      <c r="L75" s="185">
        <v>1</v>
      </c>
      <c r="M75" s="185">
        <v>4</v>
      </c>
      <c r="N75" s="262">
        <v>77</v>
      </c>
      <c r="O75" s="262">
        <v>70</v>
      </c>
      <c r="P75" s="185">
        <v>449</v>
      </c>
      <c r="Q75" s="185">
        <v>449</v>
      </c>
      <c r="R75" s="185">
        <v>392139</v>
      </c>
      <c r="S75" s="185">
        <v>31790</v>
      </c>
    </row>
    <row r="77" ht="12.75" customHeight="1"/>
    <row r="78" spans="1:19" s="153" customFormat="1" ht="12.75">
      <c r="A78" s="43"/>
      <c r="B78" s="43" t="s">
        <v>254</v>
      </c>
      <c r="C78" s="32" t="s">
        <v>311</v>
      </c>
      <c r="D78" s="43"/>
      <c r="E78" s="43"/>
      <c r="F78" s="43"/>
      <c r="G78" s="43"/>
      <c r="H78" s="43"/>
      <c r="I78" s="43"/>
      <c r="J78" s="43"/>
      <c r="K78" s="151"/>
      <c r="L78" s="43"/>
      <c r="M78" s="43"/>
      <c r="N78" s="43"/>
      <c r="O78" s="43"/>
      <c r="P78" s="43"/>
      <c r="Q78" s="43"/>
      <c r="R78" s="43"/>
      <c r="S78" s="152"/>
    </row>
    <row r="79" spans="1:18" s="150" customFormat="1" ht="12.75">
      <c r="A79" s="43"/>
      <c r="B79" s="43" t="s">
        <v>290</v>
      </c>
      <c r="C79" s="43" t="s">
        <v>291</v>
      </c>
      <c r="E79" s="43"/>
      <c r="F79" s="43"/>
      <c r="G79" s="43"/>
      <c r="H79" s="43"/>
      <c r="I79" s="43"/>
      <c r="J79" s="43"/>
      <c r="K79" s="151"/>
      <c r="L79" s="43"/>
      <c r="M79" s="43"/>
      <c r="N79" s="43"/>
      <c r="O79" s="43"/>
      <c r="P79" s="43"/>
      <c r="Q79" s="43"/>
      <c r="R79" s="43"/>
    </row>
    <row r="80" spans="1:17" s="150" customFormat="1" ht="12.75">
      <c r="A80" s="43"/>
      <c r="B80" s="156"/>
      <c r="C80" s="156" t="s">
        <v>281</v>
      </c>
      <c r="D80" s="157"/>
      <c r="E80" s="156"/>
      <c r="F80" s="156"/>
      <c r="G80" s="156"/>
      <c r="H80" s="156"/>
      <c r="I80" s="156"/>
      <c r="J80" s="156"/>
      <c r="K80" s="151"/>
      <c r="L80" s="43"/>
      <c r="M80" s="43"/>
      <c r="N80" s="43"/>
      <c r="O80" s="43"/>
      <c r="P80" s="43"/>
      <c r="Q80" s="43"/>
    </row>
    <row r="81" spans="1:17" s="150" customFormat="1" ht="12.75">
      <c r="A81" s="43"/>
      <c r="B81" s="227"/>
      <c r="C81" s="43" t="s">
        <v>258</v>
      </c>
      <c r="E81" s="43"/>
      <c r="F81" s="43"/>
      <c r="G81" s="43"/>
      <c r="H81" s="43"/>
      <c r="I81" s="43"/>
      <c r="J81" s="43"/>
      <c r="K81" s="151"/>
      <c r="L81" s="43"/>
      <c r="M81" s="43"/>
      <c r="N81" s="43"/>
      <c r="O81" s="43"/>
      <c r="P81" s="43"/>
      <c r="Q81" s="43"/>
    </row>
    <row r="82" spans="1:17" s="150" customFormat="1" ht="12.75">
      <c r="A82" s="43"/>
      <c r="B82" s="251"/>
      <c r="C82" s="43" t="s">
        <v>285</v>
      </c>
      <c r="D82" s="43"/>
      <c r="E82" s="43"/>
      <c r="F82" s="43"/>
      <c r="G82" s="43"/>
      <c r="H82" s="43"/>
      <c r="I82" s="43"/>
      <c r="J82" s="43"/>
      <c r="K82" s="43"/>
      <c r="L82" s="43"/>
      <c r="M82" s="43"/>
      <c r="N82" s="43"/>
      <c r="O82" s="43"/>
      <c r="P82" s="43"/>
      <c r="Q82" s="43"/>
    </row>
    <row r="83" spans="1:17" s="150" customFormat="1" ht="12.75">
      <c r="A83" s="43"/>
      <c r="B83" s="228"/>
      <c r="C83" s="43" t="s">
        <v>286</v>
      </c>
      <c r="D83" s="43"/>
      <c r="E83" s="43"/>
      <c r="F83" s="43"/>
      <c r="G83" s="43"/>
      <c r="H83" s="43"/>
      <c r="I83" s="43"/>
      <c r="J83" s="43"/>
      <c r="K83" s="43"/>
      <c r="L83" s="43"/>
      <c r="M83" s="43"/>
      <c r="N83" s="43"/>
      <c r="O83" s="43"/>
      <c r="P83" s="43"/>
      <c r="Q83" s="43"/>
    </row>
    <row r="84" spans="2:17" s="5" customFormat="1" ht="12.75">
      <c r="B84" s="252"/>
      <c r="C84" s="43" t="s">
        <v>288</v>
      </c>
      <c r="L84" s="16"/>
      <c r="Q84"/>
    </row>
    <row r="85" spans="1:20" s="153" customFormat="1" ht="12.75">
      <c r="A85" s="43"/>
      <c r="B85" s="43"/>
      <c r="C85" s="32"/>
      <c r="D85" s="43"/>
      <c r="E85" s="43"/>
      <c r="F85" s="43"/>
      <c r="G85" s="43"/>
      <c r="H85" s="43"/>
      <c r="I85" s="43"/>
      <c r="J85" s="43"/>
      <c r="K85" s="151"/>
      <c r="L85" s="43"/>
      <c r="M85" s="43"/>
      <c r="N85" s="43"/>
      <c r="O85" s="43"/>
      <c r="P85" s="43"/>
      <c r="Q85" s="43"/>
      <c r="R85" s="151"/>
      <c r="S85" s="316"/>
      <c r="T85" s="152"/>
    </row>
    <row r="86" spans="1:20" s="153" customFormat="1" ht="12.75">
      <c r="A86" s="43"/>
      <c r="B86" s="43" t="s">
        <v>303</v>
      </c>
      <c r="C86" s="32"/>
      <c r="D86" s="43"/>
      <c r="E86" s="43"/>
      <c r="F86" s="43"/>
      <c r="G86" s="43"/>
      <c r="H86" s="43"/>
      <c r="I86" s="43"/>
      <c r="J86" s="43"/>
      <c r="K86" s="151"/>
      <c r="L86" s="43"/>
      <c r="M86" s="43"/>
      <c r="N86" s="43"/>
      <c r="O86" s="43"/>
      <c r="P86" s="43"/>
      <c r="Q86" s="43"/>
      <c r="R86" s="151"/>
      <c r="S86" s="316"/>
      <c r="T86" s="152"/>
    </row>
    <row r="87" spans="1:20" s="153" customFormat="1" ht="12.75">
      <c r="A87" s="43"/>
      <c r="B87" s="43" t="s">
        <v>304</v>
      </c>
      <c r="C87" s="32"/>
      <c r="D87" s="43"/>
      <c r="E87" s="43"/>
      <c r="F87" s="43"/>
      <c r="G87" s="43"/>
      <c r="H87" s="43"/>
      <c r="I87" s="43"/>
      <c r="J87" s="43"/>
      <c r="K87" s="151"/>
      <c r="L87" s="43"/>
      <c r="M87" s="43"/>
      <c r="N87" s="43"/>
      <c r="O87" s="43"/>
      <c r="P87" s="43"/>
      <c r="Q87" s="43"/>
      <c r="R87" s="151"/>
      <c r="S87" s="316"/>
      <c r="T87" s="152"/>
    </row>
    <row r="88" spans="1:14" ht="12.75" customHeight="1">
      <c r="A88" s="131"/>
      <c r="B88" s="129"/>
      <c r="C88" s="129"/>
      <c r="D88" s="129"/>
      <c r="E88" s="129"/>
      <c r="F88" s="129"/>
      <c r="G88" s="129"/>
      <c r="H88" s="244"/>
      <c r="I88" s="244"/>
      <c r="J88" s="130"/>
      <c r="K88" s="130"/>
      <c r="L88" s="130"/>
      <c r="M88" s="130"/>
      <c r="N88" s="130"/>
    </row>
    <row r="89" spans="1:14" ht="12.75" customHeight="1">
      <c r="A89" s="131"/>
      <c r="B89" s="129"/>
      <c r="C89" s="129"/>
      <c r="D89" s="129"/>
      <c r="E89" s="129"/>
      <c r="F89" s="129"/>
      <c r="G89" s="129"/>
      <c r="H89" s="244"/>
      <c r="I89" s="244"/>
      <c r="J89" s="129"/>
      <c r="K89" s="129"/>
      <c r="L89" s="129"/>
      <c r="M89" s="129"/>
      <c r="N89" s="129"/>
    </row>
    <row r="90" spans="1:14" ht="12.75" customHeight="1">
      <c r="A90" s="131"/>
      <c r="B90" s="129"/>
      <c r="C90" s="129"/>
      <c r="D90" s="129"/>
      <c r="E90" s="129"/>
      <c r="F90" s="129"/>
      <c r="G90" s="129"/>
      <c r="H90" s="244"/>
      <c r="I90" s="244"/>
      <c r="J90" s="129"/>
      <c r="K90" s="129"/>
      <c r="L90" s="130"/>
      <c r="M90" s="130"/>
      <c r="N90" s="130"/>
    </row>
    <row r="91" spans="1:14" ht="12.75" customHeight="1">
      <c r="A91" s="131"/>
      <c r="B91" s="129"/>
      <c r="C91" s="129"/>
      <c r="D91" s="129"/>
      <c r="E91" s="129"/>
      <c r="F91" s="129"/>
      <c r="G91" s="129"/>
      <c r="H91" s="244"/>
      <c r="I91" s="244"/>
      <c r="J91" s="129"/>
      <c r="K91" s="129"/>
      <c r="L91" s="129"/>
      <c r="M91" s="130"/>
      <c r="N91" s="130"/>
    </row>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21.75" customHeight="1"/>
    <row r="137" spans="12:19" ht="18">
      <c r="L137" s="21"/>
      <c r="M137" s="21"/>
      <c r="N137" s="21"/>
      <c r="O137" s="21"/>
      <c r="P137" s="21"/>
      <c r="Q137" s="21"/>
      <c r="R137" s="206"/>
      <c r="S137" s="206"/>
    </row>
    <row r="138" spans="12:19" ht="18">
      <c r="L138" s="21"/>
      <c r="M138" s="21"/>
      <c r="N138" s="21"/>
      <c r="O138" s="21"/>
      <c r="P138" s="21"/>
      <c r="Q138" s="21"/>
      <c r="R138" s="206"/>
      <c r="S138" s="206"/>
    </row>
    <row r="139" spans="12:19" ht="18">
      <c r="L139" s="21"/>
      <c r="M139" s="21"/>
      <c r="N139" s="21"/>
      <c r="O139" s="21"/>
      <c r="P139" s="21"/>
      <c r="Q139" s="21"/>
      <c r="R139" s="206"/>
      <c r="S139" s="206"/>
    </row>
    <row r="140" spans="12:19" ht="18">
      <c r="L140" s="21"/>
      <c r="M140" s="21"/>
      <c r="N140" s="21"/>
      <c r="O140" s="21"/>
      <c r="P140" s="21"/>
      <c r="Q140" s="21"/>
      <c r="R140" s="206"/>
      <c r="S140" s="206"/>
    </row>
    <row r="141" spans="12:19" ht="18">
      <c r="L141" s="21"/>
      <c r="M141" s="21"/>
      <c r="N141" s="21"/>
      <c r="O141" s="21"/>
      <c r="P141" s="21"/>
      <c r="Q141" s="21"/>
      <c r="R141" s="206"/>
      <c r="S141" s="206"/>
    </row>
    <row r="142" spans="12:19" ht="18">
      <c r="L142" s="21"/>
      <c r="M142" s="21"/>
      <c r="N142" s="21"/>
      <c r="O142" s="21"/>
      <c r="P142" s="21"/>
      <c r="Q142" s="21"/>
      <c r="R142" s="206"/>
      <c r="S142" s="206"/>
    </row>
    <row r="143" spans="12:19" ht="18">
      <c r="L143" s="21"/>
      <c r="M143" s="21"/>
      <c r="N143" s="21"/>
      <c r="O143" s="21"/>
      <c r="P143" s="21"/>
      <c r="Q143" s="21"/>
      <c r="R143" s="206"/>
      <c r="S143" s="206"/>
    </row>
    <row r="144" spans="12:19" ht="18">
      <c r="L144" s="21"/>
      <c r="M144" s="21"/>
      <c r="N144" s="21"/>
      <c r="O144" s="21"/>
      <c r="P144" s="21"/>
      <c r="Q144" s="21"/>
      <c r="R144" s="206"/>
      <c r="S144" s="206"/>
    </row>
    <row r="145" spans="12:19" ht="18">
      <c r="L145" s="21"/>
      <c r="M145" s="21"/>
      <c r="N145" s="21"/>
      <c r="O145" s="21"/>
      <c r="P145" s="21"/>
      <c r="Q145" s="21"/>
      <c r="R145" s="206"/>
      <c r="S145" s="206"/>
    </row>
    <row r="146" spans="12:19" ht="18">
      <c r="L146" s="21"/>
      <c r="M146" s="21"/>
      <c r="N146" s="21"/>
      <c r="O146" s="21"/>
      <c r="P146" s="21"/>
      <c r="Q146" s="21"/>
      <c r="R146" s="206"/>
      <c r="S146" s="206"/>
    </row>
    <row r="147" spans="12:19" ht="18">
      <c r="L147" s="21"/>
      <c r="M147" s="21"/>
      <c r="N147" s="21"/>
      <c r="O147" s="21"/>
      <c r="P147" s="21"/>
      <c r="Q147" s="21"/>
      <c r="R147" s="206"/>
      <c r="S147" s="206"/>
    </row>
    <row r="148" spans="12:19" ht="18">
      <c r="L148" s="21"/>
      <c r="M148" s="21"/>
      <c r="N148" s="21"/>
      <c r="O148" s="21"/>
      <c r="P148" s="21"/>
      <c r="Q148" s="21"/>
      <c r="R148" s="206"/>
      <c r="S148" s="206"/>
    </row>
    <row r="149" spans="12:19" ht="18">
      <c r="L149" s="21"/>
      <c r="M149" s="21"/>
      <c r="N149" s="21"/>
      <c r="O149" s="21"/>
      <c r="P149" s="21"/>
      <c r="Q149" s="21"/>
      <c r="R149" s="206"/>
      <c r="S149" s="206"/>
    </row>
    <row r="150" spans="12:19" ht="18">
      <c r="L150" s="21"/>
      <c r="M150" s="21"/>
      <c r="N150" s="21"/>
      <c r="O150" s="21"/>
      <c r="P150" s="21"/>
      <c r="Q150" s="21"/>
      <c r="R150" s="206"/>
      <c r="S150" s="206"/>
    </row>
    <row r="151" spans="12:19" ht="18">
      <c r="L151" s="21"/>
      <c r="M151" s="21"/>
      <c r="N151" s="21"/>
      <c r="O151" s="21"/>
      <c r="P151" s="21"/>
      <c r="Q151" s="21"/>
      <c r="R151" s="206"/>
      <c r="S151" s="206"/>
    </row>
    <row r="152" spans="12:19" ht="18">
      <c r="L152" s="21"/>
      <c r="M152" s="21"/>
      <c r="N152" s="21"/>
      <c r="O152" s="21"/>
      <c r="P152" s="21"/>
      <c r="Q152" s="21"/>
      <c r="R152" s="206"/>
      <c r="S152" s="206"/>
    </row>
    <row r="153" spans="12:19" ht="18">
      <c r="L153" s="21"/>
      <c r="M153" s="21"/>
      <c r="N153" s="21"/>
      <c r="O153" s="21"/>
      <c r="P153" s="21"/>
      <c r="Q153" s="21"/>
      <c r="R153" s="206"/>
      <c r="S153" s="206"/>
    </row>
    <row r="154" spans="12:19" ht="18">
      <c r="L154" s="21"/>
      <c r="M154" s="21"/>
      <c r="N154" s="21"/>
      <c r="O154" s="21"/>
      <c r="P154" s="21"/>
      <c r="Q154" s="21"/>
      <c r="R154" s="206"/>
      <c r="S154" s="206"/>
    </row>
    <row r="155" spans="12:19" ht="18">
      <c r="L155" s="21"/>
      <c r="M155" s="21"/>
      <c r="N155" s="21"/>
      <c r="O155" s="21"/>
      <c r="P155" s="21"/>
      <c r="Q155" s="21"/>
      <c r="R155" s="206"/>
      <c r="S155" s="206"/>
    </row>
    <row r="156" spans="12:19" ht="18">
      <c r="L156" s="21"/>
      <c r="M156" s="21"/>
      <c r="N156" s="21"/>
      <c r="O156" s="21"/>
      <c r="P156" s="21"/>
      <c r="Q156" s="21"/>
      <c r="R156" s="206"/>
      <c r="S156" s="206"/>
    </row>
    <row r="157" spans="12:19" ht="18">
      <c r="L157" s="21"/>
      <c r="M157" s="21"/>
      <c r="N157" s="21"/>
      <c r="O157" s="21"/>
      <c r="P157" s="21"/>
      <c r="Q157" s="21"/>
      <c r="R157" s="206"/>
      <c r="S157" s="206"/>
    </row>
    <row r="158" spans="12:19" ht="18">
      <c r="L158" s="21"/>
      <c r="M158" s="21"/>
      <c r="N158" s="21"/>
      <c r="O158" s="21"/>
      <c r="P158" s="21"/>
      <c r="Q158" s="21"/>
      <c r="R158" s="206"/>
      <c r="S158" s="206"/>
    </row>
    <row r="159" spans="12:19" ht="18">
      <c r="L159" s="21"/>
      <c r="M159" s="21"/>
      <c r="N159" s="21"/>
      <c r="O159" s="21"/>
      <c r="P159" s="21"/>
      <c r="Q159" s="21"/>
      <c r="R159" s="206"/>
      <c r="S159" s="206"/>
    </row>
    <row r="160" spans="12:19" ht="18">
      <c r="L160" s="21"/>
      <c r="M160" s="21"/>
      <c r="N160" s="21"/>
      <c r="O160" s="21"/>
      <c r="P160" s="21"/>
      <c r="Q160" s="21"/>
      <c r="R160" s="206"/>
      <c r="S160" s="206"/>
    </row>
    <row r="161" spans="12:19" ht="18">
      <c r="L161" s="21"/>
      <c r="M161" s="21"/>
      <c r="N161" s="21"/>
      <c r="O161" s="21"/>
      <c r="P161" s="21"/>
      <c r="Q161" s="21"/>
      <c r="R161" s="206"/>
      <c r="S161" s="206"/>
    </row>
    <row r="162" spans="12:19" ht="18">
      <c r="L162" s="21"/>
      <c r="M162" s="21"/>
      <c r="N162" s="21"/>
      <c r="O162" s="21"/>
      <c r="P162" s="21"/>
      <c r="Q162" s="21"/>
      <c r="R162" s="206"/>
      <c r="S162" s="206"/>
    </row>
  </sheetData>
  <sheetProtection/>
  <mergeCells count="32">
    <mergeCell ref="D8:D10"/>
    <mergeCell ref="E9:E10"/>
    <mergeCell ref="A2:S2"/>
    <mergeCell ref="L6:S7"/>
    <mergeCell ref="A11:B11"/>
    <mergeCell ref="A12:B12"/>
    <mergeCell ref="C7:I7"/>
    <mergeCell ref="C6:K6"/>
    <mergeCell ref="J7:K7"/>
    <mergeCell ref="J8:J10"/>
    <mergeCell ref="K8:K10"/>
    <mergeCell ref="C8:C10"/>
    <mergeCell ref="H9:H10"/>
    <mergeCell ref="I9:I10"/>
    <mergeCell ref="F9:G9"/>
    <mergeCell ref="A6:B10"/>
    <mergeCell ref="A1:B1"/>
    <mergeCell ref="A3:S3"/>
    <mergeCell ref="A4:S4"/>
    <mergeCell ref="H8:I8"/>
    <mergeCell ref="E8:G8"/>
    <mergeCell ref="R8:S8"/>
    <mergeCell ref="R9:R10"/>
    <mergeCell ref="S9:S10"/>
    <mergeCell ref="P9:P10"/>
    <mergeCell ref="Q9:Q10"/>
    <mergeCell ref="L8:L10"/>
    <mergeCell ref="M8:M10"/>
    <mergeCell ref="O9:O10"/>
    <mergeCell ref="N9:N10"/>
    <mergeCell ref="N8:O8"/>
    <mergeCell ref="P8:Q8"/>
  </mergeCells>
  <printOptions/>
  <pageMargins left="1" right="0.25" top="0.75" bottom="0.5" header="0" footer="0"/>
  <pageSetup horizontalDpi="600" verticalDpi="600" orientation="landscape" paperSize="8" r:id="rId2"/>
  <drawing r:id="rId1"/>
</worksheet>
</file>

<file path=xl/worksheets/sheet9.xml><?xml version="1.0" encoding="utf-8"?>
<worksheet xmlns="http://schemas.openxmlformats.org/spreadsheetml/2006/main" xmlns:r="http://schemas.openxmlformats.org/officeDocument/2006/relationships">
  <dimension ref="A1:S143"/>
  <sheetViews>
    <sheetView zoomScalePageLayoutView="0" workbookViewId="0" topLeftCell="A1">
      <pane ySplit="4695" topLeftCell="A7" activePane="topLeft" state="split"/>
      <selection pane="topLeft" activeCell="G12" sqref="G12"/>
      <selection pane="bottomLeft" activeCell="C12" sqref="C12"/>
    </sheetView>
  </sheetViews>
  <sheetFormatPr defaultColWidth="9.140625" defaultRowHeight="12.75"/>
  <cols>
    <col min="1" max="1" width="4.421875" style="0" customWidth="1"/>
    <col min="2" max="2" width="21.00390625" style="62" customWidth="1"/>
    <col min="3" max="3" width="8.28125" style="0" customWidth="1"/>
    <col min="4" max="4" width="9.00390625" style="0" customWidth="1"/>
    <col min="5" max="5" width="7.28125" style="0" customWidth="1"/>
    <col min="6" max="6" width="10.140625" style="0" customWidth="1"/>
    <col min="7" max="7" width="8.8515625" style="0" customWidth="1"/>
    <col min="8" max="8" width="9.28125" style="0" customWidth="1"/>
    <col min="9" max="10" width="8.421875" style="0" customWidth="1"/>
    <col min="11" max="11" width="7.57421875" style="0" customWidth="1"/>
    <col min="12" max="12" width="8.28125" style="0" customWidth="1"/>
    <col min="13" max="13" width="7.7109375" style="0" customWidth="1"/>
    <col min="14" max="14" width="8.00390625" style="0" customWidth="1"/>
    <col min="15" max="15" width="8.421875" style="0" customWidth="1"/>
  </cols>
  <sheetData>
    <row r="1" spans="1:2" ht="16.5">
      <c r="A1" s="530" t="s">
        <v>7</v>
      </c>
      <c r="B1" s="530"/>
    </row>
    <row r="2" spans="1:15" ht="18.75">
      <c r="A2" s="531" t="s">
        <v>88</v>
      </c>
      <c r="B2" s="531"/>
      <c r="C2" s="531"/>
      <c r="D2" s="531"/>
      <c r="E2" s="531"/>
      <c r="F2" s="531"/>
      <c r="G2" s="531"/>
      <c r="H2" s="531"/>
      <c r="I2" s="531"/>
      <c r="J2" s="531"/>
      <c r="K2" s="531"/>
      <c r="L2" s="531"/>
      <c r="M2" s="531"/>
      <c r="N2" s="531"/>
      <c r="O2" s="531"/>
    </row>
    <row r="3" spans="1:15" ht="18.75">
      <c r="A3" s="483" t="s">
        <v>152</v>
      </c>
      <c r="B3" s="483"/>
      <c r="C3" s="483"/>
      <c r="D3" s="483"/>
      <c r="E3" s="483"/>
      <c r="F3" s="483"/>
      <c r="G3" s="483"/>
      <c r="H3" s="483"/>
      <c r="I3" s="483"/>
      <c r="J3" s="483"/>
      <c r="K3" s="483"/>
      <c r="L3" s="483"/>
      <c r="M3" s="483"/>
      <c r="N3" s="483"/>
      <c r="O3" s="483"/>
    </row>
    <row r="4" spans="1:15" ht="18.75">
      <c r="A4" s="528" t="s">
        <v>315</v>
      </c>
      <c r="B4" s="529"/>
      <c r="C4" s="529"/>
      <c r="D4" s="529"/>
      <c r="E4" s="529"/>
      <c r="F4" s="529"/>
      <c r="G4" s="529"/>
      <c r="H4" s="529"/>
      <c r="I4" s="529"/>
      <c r="J4" s="529"/>
      <c r="K4" s="529"/>
      <c r="L4" s="529"/>
      <c r="M4" s="529"/>
      <c r="N4" s="529"/>
      <c r="O4" s="529"/>
    </row>
    <row r="5" spans="1:15" ht="18.75">
      <c r="A5" s="71"/>
      <c r="B5" s="71"/>
      <c r="C5" s="71"/>
      <c r="D5" s="71"/>
      <c r="E5" s="71"/>
      <c r="F5" s="71"/>
      <c r="G5" s="71"/>
      <c r="H5" s="71"/>
      <c r="I5" s="71"/>
      <c r="J5" s="71"/>
      <c r="K5" s="71"/>
      <c r="L5" s="71"/>
      <c r="M5" s="71"/>
      <c r="N5" s="71"/>
      <c r="O5" s="71"/>
    </row>
    <row r="6" spans="1:15" s="32" customFormat="1" ht="12.75">
      <c r="A6" s="388"/>
      <c r="B6" s="389"/>
      <c r="C6" s="427" t="s">
        <v>85</v>
      </c>
      <c r="D6" s="427"/>
      <c r="E6" s="427"/>
      <c r="F6" s="427" t="s">
        <v>86</v>
      </c>
      <c r="G6" s="427"/>
      <c r="H6" s="427"/>
      <c r="I6" s="427"/>
      <c r="J6" s="427"/>
      <c r="K6" s="427"/>
      <c r="L6" s="427"/>
      <c r="M6" s="427"/>
      <c r="N6" s="427"/>
      <c r="O6" s="427"/>
    </row>
    <row r="7" spans="1:15" s="32" customFormat="1" ht="12.75" customHeight="1">
      <c r="A7" s="390"/>
      <c r="B7" s="391"/>
      <c r="C7" s="448" t="s">
        <v>9</v>
      </c>
      <c r="D7" s="426" t="s">
        <v>44</v>
      </c>
      <c r="E7" s="426"/>
      <c r="F7" s="426" t="s">
        <v>9</v>
      </c>
      <c r="G7" s="426" t="s">
        <v>44</v>
      </c>
      <c r="H7" s="426"/>
      <c r="I7" s="426"/>
      <c r="J7" s="426"/>
      <c r="K7" s="426"/>
      <c r="L7" s="426"/>
      <c r="M7" s="426"/>
      <c r="N7" s="426"/>
      <c r="O7" s="426"/>
    </row>
    <row r="8" spans="1:15" s="32" customFormat="1" ht="12.75">
      <c r="A8" s="390"/>
      <c r="B8" s="391"/>
      <c r="C8" s="449"/>
      <c r="D8" s="448" t="s">
        <v>28</v>
      </c>
      <c r="E8" s="448" t="s">
        <v>29</v>
      </c>
      <c r="F8" s="426"/>
      <c r="G8" s="426" t="s">
        <v>30</v>
      </c>
      <c r="H8" s="426"/>
      <c r="I8" s="426"/>
      <c r="J8" s="426"/>
      <c r="K8" s="426"/>
      <c r="L8" s="426" t="s">
        <v>31</v>
      </c>
      <c r="M8" s="426"/>
      <c r="N8" s="426"/>
      <c r="O8" s="426"/>
    </row>
    <row r="9" spans="1:15" s="32" customFormat="1" ht="12.75">
      <c r="A9" s="390"/>
      <c r="B9" s="391"/>
      <c r="C9" s="449"/>
      <c r="D9" s="449"/>
      <c r="E9" s="449"/>
      <c r="F9" s="426"/>
      <c r="G9" s="426" t="s">
        <v>9</v>
      </c>
      <c r="H9" s="426" t="s">
        <v>44</v>
      </c>
      <c r="I9" s="426"/>
      <c r="J9" s="426"/>
      <c r="K9" s="426"/>
      <c r="L9" s="426" t="s">
        <v>9</v>
      </c>
      <c r="M9" s="426" t="s">
        <v>44</v>
      </c>
      <c r="N9" s="426"/>
      <c r="O9" s="426"/>
    </row>
    <row r="10" spans="1:15" s="32" customFormat="1" ht="66.75" customHeight="1">
      <c r="A10" s="392"/>
      <c r="B10" s="393"/>
      <c r="C10" s="450"/>
      <c r="D10" s="450"/>
      <c r="E10" s="450"/>
      <c r="F10" s="426"/>
      <c r="G10" s="426"/>
      <c r="H10" s="83" t="s">
        <v>163</v>
      </c>
      <c r="I10" s="83" t="s">
        <v>164</v>
      </c>
      <c r="J10" s="83" t="s">
        <v>165</v>
      </c>
      <c r="K10" s="83" t="s">
        <v>123</v>
      </c>
      <c r="L10" s="426"/>
      <c r="M10" s="83" t="s">
        <v>163</v>
      </c>
      <c r="N10" s="83" t="s">
        <v>164</v>
      </c>
      <c r="O10" s="83" t="s">
        <v>165</v>
      </c>
    </row>
    <row r="11" spans="1:15" s="32" customFormat="1" ht="12.75">
      <c r="A11" s="394" t="s">
        <v>40</v>
      </c>
      <c r="B11" s="395"/>
      <c r="C11" s="64">
        <v>1</v>
      </c>
      <c r="D11" s="64">
        <v>2</v>
      </c>
      <c r="E11" s="64">
        <v>3</v>
      </c>
      <c r="F11" s="64">
        <v>4</v>
      </c>
      <c r="G11" s="64">
        <v>5</v>
      </c>
      <c r="H11" s="64">
        <v>6</v>
      </c>
      <c r="I11" s="64">
        <v>7</v>
      </c>
      <c r="J11" s="64">
        <v>8</v>
      </c>
      <c r="K11" s="64">
        <v>9</v>
      </c>
      <c r="L11" s="64">
        <v>10</v>
      </c>
      <c r="M11" s="64">
        <v>11</v>
      </c>
      <c r="N11" s="64">
        <v>12</v>
      </c>
      <c r="O11" s="64">
        <v>13</v>
      </c>
    </row>
    <row r="12" spans="1:15" ht="18.75" customHeight="1">
      <c r="A12" s="74" t="s">
        <v>97</v>
      </c>
      <c r="B12" s="72"/>
      <c r="C12" s="171">
        <f aca="true" t="shared" si="0" ref="C12:O12">C13+C19</f>
        <v>3799</v>
      </c>
      <c r="D12" s="171">
        <f t="shared" si="0"/>
        <v>3113</v>
      </c>
      <c r="E12" s="171">
        <f t="shared" si="0"/>
        <v>747</v>
      </c>
      <c r="F12" s="171">
        <f t="shared" si="0"/>
        <v>107016</v>
      </c>
      <c r="G12" s="171">
        <f t="shared" si="0"/>
        <v>83028</v>
      </c>
      <c r="H12" s="171">
        <f t="shared" si="0"/>
        <v>41864</v>
      </c>
      <c r="I12" s="171">
        <f t="shared" si="0"/>
        <v>2340</v>
      </c>
      <c r="J12" s="171">
        <f t="shared" si="0"/>
        <v>38988</v>
      </c>
      <c r="K12" s="171">
        <f t="shared" si="0"/>
        <v>842</v>
      </c>
      <c r="L12" s="133">
        <f t="shared" si="0"/>
        <v>23988</v>
      </c>
      <c r="M12" s="171">
        <f t="shared" si="0"/>
        <v>587</v>
      </c>
      <c r="N12" s="171">
        <f t="shared" si="0"/>
        <v>5504</v>
      </c>
      <c r="O12" s="171">
        <f t="shared" si="0"/>
        <v>17897</v>
      </c>
    </row>
    <row r="13" spans="1:15" ht="18.75" customHeight="1">
      <c r="A13" s="73" t="s">
        <v>260</v>
      </c>
      <c r="B13" s="73"/>
      <c r="C13" s="367"/>
      <c r="D13" s="367"/>
      <c r="E13" s="367"/>
      <c r="F13" s="367"/>
      <c r="G13" s="367"/>
      <c r="H13" s="367"/>
      <c r="I13" s="367"/>
      <c r="J13" s="367"/>
      <c r="K13" s="367"/>
      <c r="L13" s="367"/>
      <c r="M13" s="367"/>
      <c r="N13" s="367"/>
      <c r="O13" s="367"/>
    </row>
    <row r="14" spans="1:15" ht="18.75" customHeight="1">
      <c r="A14" s="128">
        <v>1</v>
      </c>
      <c r="B14" s="168" t="s">
        <v>232</v>
      </c>
      <c r="C14" s="368"/>
      <c r="D14" s="369"/>
      <c r="E14" s="369"/>
      <c r="F14" s="368"/>
      <c r="G14" s="368"/>
      <c r="H14" s="369"/>
      <c r="I14" s="369"/>
      <c r="J14" s="369"/>
      <c r="K14" s="369"/>
      <c r="L14" s="368"/>
      <c r="M14" s="369"/>
      <c r="N14" s="369"/>
      <c r="O14" s="369"/>
    </row>
    <row r="15" spans="1:15" ht="25.5">
      <c r="A15" s="128">
        <v>2</v>
      </c>
      <c r="B15" s="168" t="s">
        <v>261</v>
      </c>
      <c r="C15" s="368"/>
      <c r="D15" s="370"/>
      <c r="E15" s="370"/>
      <c r="F15" s="371"/>
      <c r="G15" s="371"/>
      <c r="H15" s="370"/>
      <c r="I15" s="370"/>
      <c r="J15" s="370"/>
      <c r="K15" s="370"/>
      <c r="L15" s="371"/>
      <c r="M15" s="370"/>
      <c r="N15" s="370"/>
      <c r="O15" s="369"/>
    </row>
    <row r="16" spans="1:15" ht="25.5">
      <c r="A16" s="128">
        <v>3</v>
      </c>
      <c r="B16" s="168" t="s">
        <v>262</v>
      </c>
      <c r="C16" s="368"/>
      <c r="D16" s="369"/>
      <c r="E16" s="369"/>
      <c r="F16" s="368"/>
      <c r="G16" s="368"/>
      <c r="H16" s="369"/>
      <c r="I16" s="369"/>
      <c r="J16" s="369"/>
      <c r="K16" s="369"/>
      <c r="L16" s="368"/>
      <c r="M16" s="369"/>
      <c r="N16" s="369"/>
      <c r="O16" s="369"/>
    </row>
    <row r="17" spans="1:15" ht="25.5">
      <c r="A17" s="128">
        <v>4</v>
      </c>
      <c r="B17" s="168" t="s">
        <v>263</v>
      </c>
      <c r="C17" s="368"/>
      <c r="D17" s="370"/>
      <c r="E17" s="370"/>
      <c r="F17" s="371"/>
      <c r="G17" s="371"/>
      <c r="H17" s="370"/>
      <c r="I17" s="370"/>
      <c r="J17" s="370"/>
      <c r="K17" s="370"/>
      <c r="L17" s="371"/>
      <c r="M17" s="370"/>
      <c r="N17" s="370"/>
      <c r="O17" s="369"/>
    </row>
    <row r="18" spans="1:15" ht="25.5">
      <c r="A18" s="128">
        <v>5</v>
      </c>
      <c r="B18" s="168" t="s">
        <v>264</v>
      </c>
      <c r="C18" s="169"/>
      <c r="D18" s="170"/>
      <c r="E18" s="170"/>
      <c r="F18" s="169"/>
      <c r="G18" s="169"/>
      <c r="H18" s="170"/>
      <c r="I18" s="170"/>
      <c r="J18" s="170"/>
      <c r="K18" s="170"/>
      <c r="L18" s="169"/>
      <c r="M18" s="170"/>
      <c r="N18" s="170"/>
      <c r="O18" s="170"/>
    </row>
    <row r="19" spans="1:15" ht="18.75" customHeight="1">
      <c r="A19" s="74" t="s">
        <v>98</v>
      </c>
      <c r="B19" s="72"/>
      <c r="C19" s="172">
        <f aca="true" t="shared" si="1" ref="C19:O19">SUM(C20:C82)</f>
        <v>3799</v>
      </c>
      <c r="D19" s="172">
        <f t="shared" si="1"/>
        <v>3113</v>
      </c>
      <c r="E19" s="172">
        <f t="shared" si="1"/>
        <v>747</v>
      </c>
      <c r="F19" s="172">
        <f t="shared" si="1"/>
        <v>107016</v>
      </c>
      <c r="G19" s="172">
        <f t="shared" si="1"/>
        <v>83028</v>
      </c>
      <c r="H19" s="172">
        <f t="shared" si="1"/>
        <v>41864</v>
      </c>
      <c r="I19" s="172">
        <f t="shared" si="1"/>
        <v>2340</v>
      </c>
      <c r="J19" s="172">
        <f t="shared" si="1"/>
        <v>38988</v>
      </c>
      <c r="K19" s="172">
        <f t="shared" si="1"/>
        <v>842</v>
      </c>
      <c r="L19" s="134">
        <f t="shared" si="1"/>
        <v>23988</v>
      </c>
      <c r="M19" s="172">
        <f t="shared" si="1"/>
        <v>587</v>
      </c>
      <c r="N19" s="172">
        <f t="shared" si="1"/>
        <v>5504</v>
      </c>
      <c r="O19" s="172">
        <f t="shared" si="1"/>
        <v>17897</v>
      </c>
    </row>
    <row r="20" spans="1:15" ht="15.75">
      <c r="A20" s="118">
        <v>1</v>
      </c>
      <c r="B20" s="119" t="s">
        <v>168</v>
      </c>
      <c r="C20" s="184">
        <f>D20+E20</f>
        <v>41</v>
      </c>
      <c r="D20" s="185">
        <v>41</v>
      </c>
      <c r="E20" s="346">
        <v>0</v>
      </c>
      <c r="F20" s="184">
        <f>G20+L20</f>
        <v>3123</v>
      </c>
      <c r="G20" s="184">
        <f>H20+I20+J20+K20</f>
        <v>1199</v>
      </c>
      <c r="H20" s="185">
        <f>372+484</f>
        <v>856</v>
      </c>
      <c r="I20" s="274">
        <v>55</v>
      </c>
      <c r="J20" s="274">
        <v>288</v>
      </c>
      <c r="K20" s="346">
        <v>0</v>
      </c>
      <c r="L20" s="184">
        <f>M20+N20+O20</f>
        <v>1924</v>
      </c>
      <c r="M20" s="346">
        <v>0</v>
      </c>
      <c r="N20" s="346">
        <v>0</v>
      </c>
      <c r="O20" s="185">
        <v>1924</v>
      </c>
    </row>
    <row r="21" spans="1:15" ht="15.75">
      <c r="A21" s="118">
        <v>2</v>
      </c>
      <c r="B21" s="119" t="s">
        <v>253</v>
      </c>
      <c r="C21" s="184">
        <f aca="true" t="shared" si="2" ref="C21:C82">D21+E21</f>
        <v>57</v>
      </c>
      <c r="D21" s="185">
        <v>47</v>
      </c>
      <c r="E21" s="185">
        <v>10</v>
      </c>
      <c r="F21" s="184">
        <f aca="true" t="shared" si="3" ref="F21:F82">G21+L21</f>
        <v>3835</v>
      </c>
      <c r="G21" s="184">
        <f aca="true" t="shared" si="4" ref="G21:G82">H21+I21+J21+K21</f>
        <v>3401</v>
      </c>
      <c r="H21" s="185">
        <f>432+362</f>
        <v>794</v>
      </c>
      <c r="I21" s="185">
        <v>24</v>
      </c>
      <c r="J21" s="185">
        <v>2583</v>
      </c>
      <c r="K21" s="346">
        <v>0</v>
      </c>
      <c r="L21" s="184">
        <f aca="true" t="shared" si="5" ref="L21:L82">M21+N21+O21</f>
        <v>434</v>
      </c>
      <c r="M21" s="185">
        <v>6</v>
      </c>
      <c r="N21" s="185">
        <v>428</v>
      </c>
      <c r="O21" s="346">
        <v>0</v>
      </c>
    </row>
    <row r="22" spans="1:15" ht="15.75">
      <c r="A22" s="118">
        <v>3</v>
      </c>
      <c r="B22" s="119" t="s">
        <v>169</v>
      </c>
      <c r="C22" s="184">
        <f t="shared" si="2"/>
        <v>35</v>
      </c>
      <c r="D22" s="185">
        <v>35</v>
      </c>
      <c r="E22" s="185"/>
      <c r="F22" s="184">
        <f t="shared" si="3"/>
        <v>1772</v>
      </c>
      <c r="G22" s="184">
        <f t="shared" si="4"/>
        <v>1597</v>
      </c>
      <c r="H22" s="185">
        <f>386+291</f>
        <v>677</v>
      </c>
      <c r="I22" s="185">
        <f>16</f>
        <v>16</v>
      </c>
      <c r="J22" s="185">
        <f>903</f>
        <v>903</v>
      </c>
      <c r="K22" s="185">
        <v>1</v>
      </c>
      <c r="L22" s="184">
        <f t="shared" si="5"/>
        <v>175</v>
      </c>
      <c r="M22" s="185"/>
      <c r="N22" s="185"/>
      <c r="O22" s="185">
        <v>175</v>
      </c>
    </row>
    <row r="23" spans="1:15" ht="15.75">
      <c r="A23" s="118">
        <v>4</v>
      </c>
      <c r="B23" s="119" t="s">
        <v>170</v>
      </c>
      <c r="C23" s="184">
        <f t="shared" si="2"/>
        <v>53</v>
      </c>
      <c r="D23" s="185">
        <v>53</v>
      </c>
      <c r="E23" s="346">
        <v>0</v>
      </c>
      <c r="F23" s="184">
        <f t="shared" si="3"/>
        <v>324</v>
      </c>
      <c r="G23" s="184">
        <f t="shared" si="4"/>
        <v>324</v>
      </c>
      <c r="H23" s="185">
        <f>54+119</f>
        <v>173</v>
      </c>
      <c r="I23" s="346">
        <v>0</v>
      </c>
      <c r="J23" s="185">
        <v>151</v>
      </c>
      <c r="K23" s="346">
        <v>0</v>
      </c>
      <c r="L23" s="363">
        <f>M23+N23+O23</f>
        <v>0</v>
      </c>
      <c r="M23" s="346">
        <v>0</v>
      </c>
      <c r="N23" s="346">
        <v>0</v>
      </c>
      <c r="O23" s="346">
        <v>0</v>
      </c>
    </row>
    <row r="24" spans="1:15" ht="15.75">
      <c r="A24" s="118">
        <v>5</v>
      </c>
      <c r="B24" s="119" t="s">
        <v>171</v>
      </c>
      <c r="C24" s="184">
        <f>D24+E24</f>
        <v>22</v>
      </c>
      <c r="D24" s="185">
        <v>21</v>
      </c>
      <c r="E24" s="185">
        <v>1</v>
      </c>
      <c r="F24" s="184">
        <f>G24+L24</f>
        <v>475</v>
      </c>
      <c r="G24" s="184">
        <f>H24+I24+J24+K24</f>
        <v>456</v>
      </c>
      <c r="H24" s="185">
        <f>114+196</f>
        <v>310</v>
      </c>
      <c r="I24" s="185">
        <v>6</v>
      </c>
      <c r="J24" s="185">
        <v>140</v>
      </c>
      <c r="K24" s="185"/>
      <c r="L24" s="184">
        <f>M24+N24+O24</f>
        <v>19</v>
      </c>
      <c r="M24" s="185">
        <v>2</v>
      </c>
      <c r="N24" s="346">
        <v>0</v>
      </c>
      <c r="O24" s="185">
        <v>17</v>
      </c>
    </row>
    <row r="25" spans="1:15" ht="15.75">
      <c r="A25" s="118">
        <v>6</v>
      </c>
      <c r="B25" s="119" t="s">
        <v>172</v>
      </c>
      <c r="C25" s="184">
        <f>D25+E25</f>
        <v>17</v>
      </c>
      <c r="D25" s="185">
        <v>17</v>
      </c>
      <c r="E25" s="185"/>
      <c r="F25" s="184">
        <f>G25+L25</f>
        <v>2936</v>
      </c>
      <c r="G25" s="184">
        <f>H25+I25+J25+K25</f>
        <v>1332</v>
      </c>
      <c r="H25" s="185">
        <v>160</v>
      </c>
      <c r="I25" s="185">
        <v>18</v>
      </c>
      <c r="J25" s="185">
        <v>1154</v>
      </c>
      <c r="K25" s="346">
        <v>0</v>
      </c>
      <c r="L25" s="184">
        <f>M25+N25+O25</f>
        <v>1604</v>
      </c>
      <c r="M25" s="346">
        <v>0</v>
      </c>
      <c r="N25" s="185">
        <v>86</v>
      </c>
      <c r="O25" s="185">
        <v>1518</v>
      </c>
    </row>
    <row r="26" spans="1:15" ht="15.75">
      <c r="A26" s="118">
        <v>7</v>
      </c>
      <c r="B26" s="119" t="s">
        <v>173</v>
      </c>
      <c r="C26" s="184">
        <f>D26+E26</f>
        <v>73</v>
      </c>
      <c r="D26" s="185">
        <v>62</v>
      </c>
      <c r="E26" s="185">
        <v>11</v>
      </c>
      <c r="F26" s="184">
        <f>G26+L26</f>
        <v>1055</v>
      </c>
      <c r="G26" s="184">
        <f>H26+I26+J26+K26</f>
        <v>1055</v>
      </c>
      <c r="H26" s="185">
        <f>328+342</f>
        <v>670</v>
      </c>
      <c r="I26" s="346">
        <v>0</v>
      </c>
      <c r="J26" s="185">
        <v>375</v>
      </c>
      <c r="K26" s="185">
        <v>10</v>
      </c>
      <c r="L26" s="363">
        <f>M26+N26+O26</f>
        <v>0</v>
      </c>
      <c r="M26" s="346">
        <v>0</v>
      </c>
      <c r="N26" s="346">
        <v>0</v>
      </c>
      <c r="O26" s="346">
        <v>0</v>
      </c>
    </row>
    <row r="27" spans="1:15" ht="15.75">
      <c r="A27" s="118">
        <v>8</v>
      </c>
      <c r="B27" s="119" t="s">
        <v>174</v>
      </c>
      <c r="C27" s="184">
        <f>D27+E27</f>
        <v>88</v>
      </c>
      <c r="D27" s="185">
        <v>78</v>
      </c>
      <c r="E27" s="185">
        <v>10</v>
      </c>
      <c r="F27" s="184">
        <f>G27+L27</f>
        <v>1212</v>
      </c>
      <c r="G27" s="184">
        <f>H27+I27+J27+K27</f>
        <v>1212</v>
      </c>
      <c r="H27" s="185">
        <f>316+366</f>
        <v>682</v>
      </c>
      <c r="I27" s="185">
        <v>175</v>
      </c>
      <c r="J27" s="185">
        <v>355</v>
      </c>
      <c r="K27" s="346">
        <v>0</v>
      </c>
      <c r="L27" s="363">
        <f>M27+N27+O27</f>
        <v>0</v>
      </c>
      <c r="M27" s="346">
        <v>0</v>
      </c>
      <c r="N27" s="346">
        <v>0</v>
      </c>
      <c r="O27" s="346">
        <v>0</v>
      </c>
    </row>
    <row r="28" spans="1:15" ht="15.75">
      <c r="A28" s="118">
        <v>9</v>
      </c>
      <c r="B28" s="119" t="s">
        <v>175</v>
      </c>
      <c r="C28" s="184">
        <f t="shared" si="2"/>
        <v>40</v>
      </c>
      <c r="D28" s="185">
        <v>40</v>
      </c>
      <c r="E28" s="346">
        <v>0</v>
      </c>
      <c r="F28" s="184">
        <f t="shared" si="3"/>
        <v>2052</v>
      </c>
      <c r="G28" s="184">
        <f t="shared" si="4"/>
        <v>1993</v>
      </c>
      <c r="H28" s="185">
        <f>840+366</f>
        <v>1206</v>
      </c>
      <c r="I28" s="346">
        <v>0</v>
      </c>
      <c r="J28" s="185">
        <v>787</v>
      </c>
      <c r="K28" s="346">
        <v>0</v>
      </c>
      <c r="L28" s="184">
        <f t="shared" si="5"/>
        <v>59</v>
      </c>
      <c r="M28" s="185">
        <v>4</v>
      </c>
      <c r="N28" s="185">
        <v>2</v>
      </c>
      <c r="O28" s="185">
        <v>53</v>
      </c>
    </row>
    <row r="29" spans="1:15" ht="15.75">
      <c r="A29" s="118">
        <v>10</v>
      </c>
      <c r="B29" s="119" t="s">
        <v>176</v>
      </c>
      <c r="C29" s="184">
        <f t="shared" si="2"/>
        <v>48</v>
      </c>
      <c r="D29" s="185">
        <v>39</v>
      </c>
      <c r="E29" s="185">
        <v>9</v>
      </c>
      <c r="F29" s="184">
        <f t="shared" si="3"/>
        <v>751</v>
      </c>
      <c r="G29" s="184">
        <f t="shared" si="4"/>
        <v>751</v>
      </c>
      <c r="H29" s="185">
        <v>370</v>
      </c>
      <c r="I29" s="346">
        <v>0</v>
      </c>
      <c r="J29" s="185">
        <v>380</v>
      </c>
      <c r="K29" s="185">
        <v>1</v>
      </c>
      <c r="L29" s="363">
        <f>M29+N29+O29</f>
        <v>0</v>
      </c>
      <c r="M29" s="346">
        <v>0</v>
      </c>
      <c r="N29" s="346">
        <v>0</v>
      </c>
      <c r="O29" s="346">
        <v>0</v>
      </c>
    </row>
    <row r="30" spans="1:15" ht="15.75">
      <c r="A30" s="118">
        <v>11</v>
      </c>
      <c r="B30" s="119" t="s">
        <v>177</v>
      </c>
      <c r="C30" s="184">
        <f t="shared" si="2"/>
        <v>44</v>
      </c>
      <c r="D30" s="185">
        <v>43</v>
      </c>
      <c r="E30" s="185">
        <v>1</v>
      </c>
      <c r="F30" s="184">
        <f t="shared" si="3"/>
        <v>1714</v>
      </c>
      <c r="G30" s="184">
        <f t="shared" si="4"/>
        <v>1477</v>
      </c>
      <c r="H30" s="185">
        <f>243+605</f>
        <v>848</v>
      </c>
      <c r="I30" s="346">
        <v>0</v>
      </c>
      <c r="J30" s="185">
        <v>512</v>
      </c>
      <c r="K30" s="185">
        <f>1+114+2</f>
        <v>117</v>
      </c>
      <c r="L30" s="184">
        <f t="shared" si="5"/>
        <v>237</v>
      </c>
      <c r="M30" s="185">
        <v>146</v>
      </c>
      <c r="N30" s="346">
        <v>0</v>
      </c>
      <c r="O30" s="185">
        <v>91</v>
      </c>
    </row>
    <row r="31" spans="1:15" ht="15.75">
      <c r="A31" s="118">
        <v>12</v>
      </c>
      <c r="B31" s="119" t="s">
        <v>178</v>
      </c>
      <c r="C31" s="184">
        <f t="shared" si="2"/>
        <v>64</v>
      </c>
      <c r="D31" s="185">
        <v>63</v>
      </c>
      <c r="E31" s="185">
        <v>1</v>
      </c>
      <c r="F31" s="184">
        <f t="shared" si="3"/>
        <v>830</v>
      </c>
      <c r="G31" s="184">
        <f t="shared" si="4"/>
        <v>821</v>
      </c>
      <c r="H31" s="185">
        <f>182+382</f>
        <v>564</v>
      </c>
      <c r="I31" s="185">
        <v>26</v>
      </c>
      <c r="J31" s="185">
        <v>219</v>
      </c>
      <c r="K31" s="185">
        <f>1+8+1+2</f>
        <v>12</v>
      </c>
      <c r="L31" s="184">
        <f t="shared" si="5"/>
        <v>9</v>
      </c>
      <c r="M31" s="185">
        <v>4</v>
      </c>
      <c r="N31" s="185">
        <v>5</v>
      </c>
      <c r="O31" s="346">
        <v>0</v>
      </c>
    </row>
    <row r="32" spans="1:15" ht="15.75">
      <c r="A32" s="118">
        <v>13</v>
      </c>
      <c r="B32" s="119" t="s">
        <v>179</v>
      </c>
      <c r="C32" s="184">
        <f t="shared" si="2"/>
        <v>131</v>
      </c>
      <c r="D32" s="185">
        <v>20</v>
      </c>
      <c r="E32" s="185">
        <v>111</v>
      </c>
      <c r="F32" s="184">
        <f t="shared" si="3"/>
        <v>3537</v>
      </c>
      <c r="G32" s="184">
        <f t="shared" si="4"/>
        <v>1519</v>
      </c>
      <c r="H32" s="185">
        <f>112+246</f>
        <v>358</v>
      </c>
      <c r="I32" s="185">
        <v>34</v>
      </c>
      <c r="J32" s="185">
        <v>1110</v>
      </c>
      <c r="K32" s="185">
        <f>1+3+13</f>
        <v>17</v>
      </c>
      <c r="L32" s="184">
        <f t="shared" si="5"/>
        <v>2018</v>
      </c>
      <c r="M32" s="185">
        <v>4</v>
      </c>
      <c r="N32" s="185">
        <v>2014</v>
      </c>
      <c r="O32" s="346">
        <v>0</v>
      </c>
    </row>
    <row r="33" spans="1:15" ht="15.75">
      <c r="A33" s="118">
        <v>14</v>
      </c>
      <c r="B33" s="119" t="s">
        <v>180</v>
      </c>
      <c r="C33" s="184">
        <f t="shared" si="2"/>
        <v>19</v>
      </c>
      <c r="D33" s="185">
        <v>12</v>
      </c>
      <c r="E33" s="185">
        <v>7</v>
      </c>
      <c r="F33" s="184">
        <f t="shared" si="3"/>
        <v>802</v>
      </c>
      <c r="G33" s="184">
        <f t="shared" si="4"/>
        <v>802</v>
      </c>
      <c r="H33" s="185">
        <f>401+37</f>
        <v>438</v>
      </c>
      <c r="I33" s="185">
        <v>162</v>
      </c>
      <c r="J33" s="185">
        <v>202</v>
      </c>
      <c r="K33" s="346">
        <v>0</v>
      </c>
      <c r="L33" s="363">
        <f>M33+N33+O33</f>
        <v>0</v>
      </c>
      <c r="M33" s="346">
        <v>0</v>
      </c>
      <c r="N33" s="346">
        <v>0</v>
      </c>
      <c r="O33" s="346">
        <v>0</v>
      </c>
    </row>
    <row r="34" spans="1:15" ht="15.75">
      <c r="A34" s="118">
        <v>15</v>
      </c>
      <c r="B34" s="119" t="s">
        <v>181</v>
      </c>
      <c r="C34" s="184">
        <f t="shared" si="2"/>
        <v>42</v>
      </c>
      <c r="D34" s="185">
        <v>42</v>
      </c>
      <c r="E34" s="346">
        <v>0</v>
      </c>
      <c r="F34" s="184">
        <f t="shared" si="3"/>
        <v>1098</v>
      </c>
      <c r="G34" s="184">
        <f t="shared" si="4"/>
        <v>1098</v>
      </c>
      <c r="H34" s="185">
        <f>242+433</f>
        <v>675</v>
      </c>
      <c r="I34" s="185">
        <v>127</v>
      </c>
      <c r="J34" s="185">
        <v>296</v>
      </c>
      <c r="K34" s="346">
        <v>0</v>
      </c>
      <c r="L34" s="363">
        <f>M34+N34+O34</f>
        <v>0</v>
      </c>
      <c r="M34" s="346">
        <v>0</v>
      </c>
      <c r="N34" s="346">
        <v>0</v>
      </c>
      <c r="O34" s="346">
        <v>0</v>
      </c>
    </row>
    <row r="35" spans="1:15" ht="15.75">
      <c r="A35" s="118">
        <v>16</v>
      </c>
      <c r="B35" s="119" t="s">
        <v>182</v>
      </c>
      <c r="C35" s="184">
        <f t="shared" si="2"/>
        <v>73</v>
      </c>
      <c r="D35" s="185">
        <v>70</v>
      </c>
      <c r="E35" s="185">
        <v>3</v>
      </c>
      <c r="F35" s="184">
        <f t="shared" si="3"/>
        <v>2873</v>
      </c>
      <c r="G35" s="184">
        <f t="shared" si="4"/>
        <v>2814</v>
      </c>
      <c r="H35" s="185">
        <f>491+1772</f>
        <v>2263</v>
      </c>
      <c r="I35" s="185">
        <v>8</v>
      </c>
      <c r="J35" s="185">
        <v>510</v>
      </c>
      <c r="K35" s="185">
        <f>11+17+5</f>
        <v>33</v>
      </c>
      <c r="L35" s="184">
        <f t="shared" si="5"/>
        <v>59</v>
      </c>
      <c r="M35" s="185"/>
      <c r="N35" s="185"/>
      <c r="O35" s="185">
        <v>59</v>
      </c>
    </row>
    <row r="36" spans="1:15" ht="15.75">
      <c r="A36" s="118">
        <v>17</v>
      </c>
      <c r="B36" s="119" t="s">
        <v>183</v>
      </c>
      <c r="C36" s="184">
        <f t="shared" si="2"/>
        <v>33</v>
      </c>
      <c r="D36" s="185">
        <v>10</v>
      </c>
      <c r="E36" s="185">
        <v>23</v>
      </c>
      <c r="F36" s="184">
        <f t="shared" si="3"/>
        <v>732</v>
      </c>
      <c r="G36" s="184">
        <f t="shared" si="4"/>
        <v>732</v>
      </c>
      <c r="H36" s="185">
        <f>143+310</f>
        <v>453</v>
      </c>
      <c r="I36" s="346">
        <v>0</v>
      </c>
      <c r="J36" s="185">
        <v>204</v>
      </c>
      <c r="K36" s="185">
        <v>75</v>
      </c>
      <c r="L36" s="363">
        <f>M36+N36+O36</f>
        <v>0</v>
      </c>
      <c r="M36" s="346">
        <v>0</v>
      </c>
      <c r="N36" s="346">
        <v>0</v>
      </c>
      <c r="O36" s="346">
        <v>0</v>
      </c>
    </row>
    <row r="37" spans="1:15" ht="15.75">
      <c r="A37" s="118">
        <v>18</v>
      </c>
      <c r="B37" s="119" t="s">
        <v>184</v>
      </c>
      <c r="C37" s="184">
        <f t="shared" si="2"/>
        <v>58</v>
      </c>
      <c r="D37" s="185">
        <v>55</v>
      </c>
      <c r="E37" s="185">
        <v>3</v>
      </c>
      <c r="F37" s="184">
        <f t="shared" si="3"/>
        <v>973</v>
      </c>
      <c r="G37" s="184">
        <f t="shared" si="4"/>
        <v>957</v>
      </c>
      <c r="H37" s="185">
        <f>127+112</f>
        <v>239</v>
      </c>
      <c r="I37" s="346">
        <v>0</v>
      </c>
      <c r="J37" s="185">
        <v>718</v>
      </c>
      <c r="K37" s="346">
        <v>0</v>
      </c>
      <c r="L37" s="184">
        <f t="shared" si="5"/>
        <v>16</v>
      </c>
      <c r="M37" s="346">
        <v>0</v>
      </c>
      <c r="N37" s="346">
        <v>0</v>
      </c>
      <c r="O37" s="185">
        <v>16</v>
      </c>
    </row>
    <row r="38" spans="1:15" ht="15.75">
      <c r="A38" s="118">
        <v>19</v>
      </c>
      <c r="B38" s="120" t="s">
        <v>202</v>
      </c>
      <c r="C38" s="184">
        <f t="shared" si="2"/>
        <v>62</v>
      </c>
      <c r="D38" s="185">
        <v>62</v>
      </c>
      <c r="E38" s="185"/>
      <c r="F38" s="184">
        <f t="shared" si="3"/>
        <v>2313</v>
      </c>
      <c r="G38" s="184">
        <f t="shared" si="4"/>
        <v>2290</v>
      </c>
      <c r="H38" s="185">
        <f>662+1059</f>
        <v>1721</v>
      </c>
      <c r="I38" s="185">
        <v>2</v>
      </c>
      <c r="J38" s="185">
        <v>567</v>
      </c>
      <c r="K38" s="185"/>
      <c r="L38" s="184">
        <f t="shared" si="5"/>
        <v>23</v>
      </c>
      <c r="M38" s="185"/>
      <c r="N38" s="185"/>
      <c r="O38" s="185">
        <v>23</v>
      </c>
    </row>
    <row r="39" spans="1:15" ht="15.75">
      <c r="A39" s="118">
        <v>20</v>
      </c>
      <c r="B39" s="120" t="s">
        <v>203</v>
      </c>
      <c r="C39" s="184">
        <f t="shared" si="2"/>
        <v>60</v>
      </c>
      <c r="D39" s="185">
        <v>59</v>
      </c>
      <c r="E39" s="185">
        <v>1</v>
      </c>
      <c r="F39" s="184">
        <f t="shared" si="3"/>
        <v>1286</v>
      </c>
      <c r="G39" s="184">
        <f t="shared" si="4"/>
        <v>1286</v>
      </c>
      <c r="H39" s="185">
        <f>295+639</f>
        <v>934</v>
      </c>
      <c r="I39" s="185">
        <v>53</v>
      </c>
      <c r="J39" s="185">
        <v>299</v>
      </c>
      <c r="K39" s="185"/>
      <c r="L39" s="363">
        <f>M39+N39+O39</f>
        <v>0</v>
      </c>
      <c r="M39" s="303"/>
      <c r="N39" s="303"/>
      <c r="O39" s="303"/>
    </row>
    <row r="40" spans="1:15" ht="15.75">
      <c r="A40" s="118">
        <v>21</v>
      </c>
      <c r="B40" s="120" t="s">
        <v>204</v>
      </c>
      <c r="C40" s="184">
        <f t="shared" si="2"/>
        <v>129</v>
      </c>
      <c r="D40" s="185">
        <v>129</v>
      </c>
      <c r="E40" s="346">
        <v>0</v>
      </c>
      <c r="F40" s="184">
        <f t="shared" si="3"/>
        <v>1276</v>
      </c>
      <c r="G40" s="184">
        <f t="shared" si="4"/>
        <v>1251</v>
      </c>
      <c r="H40" s="185">
        <f>353+306</f>
        <v>659</v>
      </c>
      <c r="I40" s="346">
        <v>0</v>
      </c>
      <c r="J40" s="185">
        <v>548</v>
      </c>
      <c r="K40" s="185">
        <f>1+1+29+2+8+3</f>
        <v>44</v>
      </c>
      <c r="L40" s="184">
        <f t="shared" si="5"/>
        <v>25</v>
      </c>
      <c r="M40" s="346">
        <v>0</v>
      </c>
      <c r="N40" s="346">
        <v>0</v>
      </c>
      <c r="O40" s="185">
        <v>25</v>
      </c>
    </row>
    <row r="41" spans="1:15" ht="15.75">
      <c r="A41" s="118">
        <v>22</v>
      </c>
      <c r="B41" s="120" t="s">
        <v>205</v>
      </c>
      <c r="C41" s="184">
        <f t="shared" si="2"/>
        <v>180</v>
      </c>
      <c r="D41" s="185">
        <v>90</v>
      </c>
      <c r="E41" s="185">
        <v>90</v>
      </c>
      <c r="F41" s="184">
        <f>G41+L41</f>
        <v>310</v>
      </c>
      <c r="G41" s="184">
        <f>H41+I41+J41+K41</f>
        <v>300</v>
      </c>
      <c r="H41" s="185">
        <f>63+71</f>
        <v>134</v>
      </c>
      <c r="I41" s="185">
        <v>6</v>
      </c>
      <c r="J41" s="185">
        <v>160</v>
      </c>
      <c r="K41" s="185"/>
      <c r="L41" s="184">
        <f t="shared" si="5"/>
        <v>10</v>
      </c>
      <c r="M41" s="185"/>
      <c r="N41" s="185"/>
      <c r="O41" s="185">
        <v>10</v>
      </c>
    </row>
    <row r="42" spans="1:15" ht="15.75">
      <c r="A42" s="118">
        <v>23</v>
      </c>
      <c r="B42" s="120" t="s">
        <v>206</v>
      </c>
      <c r="C42" s="184">
        <f t="shared" si="2"/>
        <v>38</v>
      </c>
      <c r="D42" s="185">
        <v>29</v>
      </c>
      <c r="E42" s="185">
        <v>9</v>
      </c>
      <c r="F42" s="184">
        <f>G42+L42</f>
        <v>983</v>
      </c>
      <c r="G42" s="184">
        <f>H42+I42+J42+K42</f>
        <v>696</v>
      </c>
      <c r="H42" s="185">
        <f>143+209</f>
        <v>352</v>
      </c>
      <c r="I42" s="185">
        <v>5</v>
      </c>
      <c r="J42" s="185">
        <v>339</v>
      </c>
      <c r="K42" s="185"/>
      <c r="L42" s="184">
        <f t="shared" si="5"/>
        <v>287</v>
      </c>
      <c r="M42" s="185">
        <v>1</v>
      </c>
      <c r="N42" s="185">
        <v>35</v>
      </c>
      <c r="O42" s="185">
        <v>251</v>
      </c>
    </row>
    <row r="43" spans="1:15" ht="15.75">
      <c r="A43" s="118">
        <v>24</v>
      </c>
      <c r="B43" s="120" t="s">
        <v>207</v>
      </c>
      <c r="C43" s="184">
        <f t="shared" si="2"/>
        <v>90</v>
      </c>
      <c r="D43" s="185">
        <v>27</v>
      </c>
      <c r="E43" s="185">
        <v>63</v>
      </c>
      <c r="F43" s="363">
        <f>G43+H43+I43</f>
        <v>0</v>
      </c>
      <c r="G43" s="363">
        <f>H43+I43+J43</f>
        <v>0</v>
      </c>
      <c r="H43" s="303"/>
      <c r="I43" s="303"/>
      <c r="J43" s="303"/>
      <c r="K43" s="303"/>
      <c r="L43" s="363"/>
      <c r="M43" s="303"/>
      <c r="N43" s="303"/>
      <c r="O43" s="303"/>
    </row>
    <row r="44" spans="1:15" ht="15.75">
      <c r="A44" s="118">
        <v>25</v>
      </c>
      <c r="B44" s="120" t="s">
        <v>208</v>
      </c>
      <c r="C44" s="184">
        <f t="shared" si="2"/>
        <v>48</v>
      </c>
      <c r="D44" s="185">
        <v>39</v>
      </c>
      <c r="E44" s="185">
        <v>9</v>
      </c>
      <c r="F44" s="184">
        <f t="shared" si="3"/>
        <v>434</v>
      </c>
      <c r="G44" s="184">
        <f t="shared" si="4"/>
        <v>416</v>
      </c>
      <c r="H44" s="185">
        <f>117+67</f>
        <v>184</v>
      </c>
      <c r="I44" s="346">
        <v>0</v>
      </c>
      <c r="J44" s="185">
        <v>232</v>
      </c>
      <c r="K44" s="346">
        <v>0</v>
      </c>
      <c r="L44" s="184">
        <f t="shared" si="5"/>
        <v>18</v>
      </c>
      <c r="M44" s="346">
        <v>0</v>
      </c>
      <c r="N44" s="346">
        <v>0</v>
      </c>
      <c r="O44" s="185">
        <v>18</v>
      </c>
    </row>
    <row r="45" spans="1:15" ht="15.75">
      <c r="A45" s="118">
        <v>26</v>
      </c>
      <c r="B45" s="120" t="s">
        <v>209</v>
      </c>
      <c r="C45" s="184">
        <f t="shared" si="2"/>
        <v>43</v>
      </c>
      <c r="D45" s="185">
        <v>18</v>
      </c>
      <c r="E45" s="185">
        <v>25</v>
      </c>
      <c r="F45" s="184">
        <f t="shared" si="3"/>
        <v>910</v>
      </c>
      <c r="G45" s="184">
        <f t="shared" si="4"/>
        <v>904</v>
      </c>
      <c r="H45" s="185">
        <f>316+324</f>
        <v>640</v>
      </c>
      <c r="I45" s="185">
        <v>19</v>
      </c>
      <c r="J45" s="185">
        <v>245</v>
      </c>
      <c r="K45" s="185"/>
      <c r="L45" s="184">
        <f t="shared" si="5"/>
        <v>6</v>
      </c>
      <c r="M45" s="185"/>
      <c r="N45" s="185"/>
      <c r="O45" s="185">
        <v>6</v>
      </c>
    </row>
    <row r="46" spans="1:15" ht="15.75">
      <c r="A46" s="118">
        <v>27</v>
      </c>
      <c r="B46" s="120" t="s">
        <v>210</v>
      </c>
      <c r="C46" s="184">
        <f t="shared" si="2"/>
        <v>78</v>
      </c>
      <c r="D46" s="185">
        <v>78</v>
      </c>
      <c r="E46" s="346">
        <v>0</v>
      </c>
      <c r="F46" s="184">
        <f t="shared" si="3"/>
        <v>6925</v>
      </c>
      <c r="G46" s="184">
        <f t="shared" si="4"/>
        <v>5874</v>
      </c>
      <c r="H46" s="185">
        <f>647+909</f>
        <v>1556</v>
      </c>
      <c r="I46" s="185">
        <f>48</f>
        <v>48</v>
      </c>
      <c r="J46" s="185">
        <v>4259</v>
      </c>
      <c r="K46" s="185">
        <f>1+3+3+1+2+1</f>
        <v>11</v>
      </c>
      <c r="L46" s="184">
        <f t="shared" si="5"/>
        <v>1051</v>
      </c>
      <c r="M46" s="185">
        <v>16</v>
      </c>
      <c r="N46" s="185">
        <v>8</v>
      </c>
      <c r="O46" s="185">
        <v>1027</v>
      </c>
    </row>
    <row r="47" spans="1:15" ht="15.75">
      <c r="A47" s="118">
        <v>28</v>
      </c>
      <c r="B47" s="120" t="s">
        <v>211</v>
      </c>
      <c r="C47" s="184"/>
      <c r="D47" s="185">
        <v>14</v>
      </c>
      <c r="E47" s="185">
        <v>47</v>
      </c>
      <c r="F47" s="184"/>
      <c r="G47" s="184"/>
      <c r="H47" s="185">
        <f>119+159</f>
        <v>278</v>
      </c>
      <c r="I47" s="346">
        <v>0</v>
      </c>
      <c r="J47" s="185">
        <v>725</v>
      </c>
      <c r="K47" s="185">
        <v>3</v>
      </c>
      <c r="L47" s="363">
        <f>M47+N47+O47</f>
        <v>0</v>
      </c>
      <c r="M47" s="346">
        <v>0</v>
      </c>
      <c r="N47" s="346">
        <v>0</v>
      </c>
      <c r="O47" s="346">
        <v>0</v>
      </c>
    </row>
    <row r="48" spans="1:15" ht="15.75">
      <c r="A48" s="118">
        <v>29</v>
      </c>
      <c r="B48" s="120" t="s">
        <v>212</v>
      </c>
      <c r="C48" s="184">
        <f t="shared" si="2"/>
        <v>50</v>
      </c>
      <c r="D48" s="185">
        <v>13</v>
      </c>
      <c r="E48" s="185">
        <v>37</v>
      </c>
      <c r="F48" s="184">
        <f t="shared" si="3"/>
        <v>568</v>
      </c>
      <c r="G48" s="184">
        <f t="shared" si="4"/>
        <v>568</v>
      </c>
      <c r="H48" s="185">
        <f>207+133</f>
        <v>340</v>
      </c>
      <c r="I48" s="346">
        <v>0</v>
      </c>
      <c r="J48" s="185">
        <v>228</v>
      </c>
      <c r="K48" s="346">
        <v>0</v>
      </c>
      <c r="L48" s="363">
        <f>M48+N48+O48</f>
        <v>0</v>
      </c>
      <c r="M48" s="346">
        <v>0</v>
      </c>
      <c r="N48" s="346">
        <v>0</v>
      </c>
      <c r="O48" s="346">
        <v>0</v>
      </c>
    </row>
    <row r="49" spans="1:15" ht="15.75">
      <c r="A49" s="118">
        <v>30</v>
      </c>
      <c r="B49" s="120" t="s">
        <v>213</v>
      </c>
      <c r="C49" s="184">
        <f t="shared" si="2"/>
        <v>15</v>
      </c>
      <c r="D49" s="185">
        <v>15</v>
      </c>
      <c r="E49" s="346">
        <v>0</v>
      </c>
      <c r="F49" s="184">
        <f t="shared" si="3"/>
        <v>570</v>
      </c>
      <c r="G49" s="184">
        <f t="shared" si="4"/>
        <v>410</v>
      </c>
      <c r="H49" s="185">
        <f>123+0</f>
        <v>123</v>
      </c>
      <c r="I49" s="185">
        <v>15</v>
      </c>
      <c r="J49" s="185">
        <v>272</v>
      </c>
      <c r="K49" s="346">
        <v>0</v>
      </c>
      <c r="L49" s="184">
        <f t="shared" si="5"/>
        <v>160</v>
      </c>
      <c r="M49" s="185">
        <v>160</v>
      </c>
      <c r="N49" s="185">
        <v>0</v>
      </c>
      <c r="O49" s="185">
        <v>0</v>
      </c>
    </row>
    <row r="50" spans="1:15" ht="15.75">
      <c r="A50" s="118">
        <v>31</v>
      </c>
      <c r="B50" s="120" t="s">
        <v>214</v>
      </c>
      <c r="C50" s="184">
        <f t="shared" si="2"/>
        <v>94</v>
      </c>
      <c r="D50" s="185">
        <v>91</v>
      </c>
      <c r="E50" s="185">
        <v>3</v>
      </c>
      <c r="F50" s="363">
        <f>G50+H50+I50</f>
        <v>0</v>
      </c>
      <c r="G50" s="363">
        <f>H50+I50+J50</f>
        <v>0</v>
      </c>
      <c r="H50" s="303"/>
      <c r="I50" s="303"/>
      <c r="J50" s="303"/>
      <c r="K50" s="303"/>
      <c r="L50" s="184"/>
      <c r="M50" s="303"/>
      <c r="N50" s="303"/>
      <c r="O50" s="303"/>
    </row>
    <row r="51" spans="1:15" ht="15.75">
      <c r="A51" s="118">
        <v>32</v>
      </c>
      <c r="B51" s="120" t="s">
        <v>215</v>
      </c>
      <c r="C51" s="184">
        <f t="shared" si="2"/>
        <v>60</v>
      </c>
      <c r="D51" s="185">
        <v>60</v>
      </c>
      <c r="E51" s="346">
        <v>0</v>
      </c>
      <c r="F51" s="184">
        <f t="shared" si="3"/>
        <v>1463</v>
      </c>
      <c r="G51" s="184">
        <f t="shared" si="4"/>
        <v>1358</v>
      </c>
      <c r="H51" s="185">
        <f>237+688</f>
        <v>925</v>
      </c>
      <c r="I51" s="346">
        <v>0</v>
      </c>
      <c r="J51" s="185">
        <v>423</v>
      </c>
      <c r="K51" s="185">
        <f>1+9</f>
        <v>10</v>
      </c>
      <c r="L51" s="184">
        <f t="shared" si="5"/>
        <v>105</v>
      </c>
      <c r="M51" s="185">
        <v>58</v>
      </c>
      <c r="N51" s="346">
        <v>0</v>
      </c>
      <c r="O51" s="185">
        <v>47</v>
      </c>
    </row>
    <row r="52" spans="1:15" ht="15.75">
      <c r="A52" s="118">
        <v>33</v>
      </c>
      <c r="B52" s="120" t="s">
        <v>216</v>
      </c>
      <c r="C52" s="184">
        <f t="shared" si="2"/>
        <v>57</v>
      </c>
      <c r="D52" s="185">
        <v>53</v>
      </c>
      <c r="E52" s="185">
        <v>4</v>
      </c>
      <c r="F52" s="184">
        <f t="shared" si="3"/>
        <v>426</v>
      </c>
      <c r="G52" s="184">
        <f t="shared" si="4"/>
        <v>376</v>
      </c>
      <c r="H52" s="185">
        <f>100+240</f>
        <v>340</v>
      </c>
      <c r="I52" s="346">
        <v>0</v>
      </c>
      <c r="J52" s="185">
        <v>36</v>
      </c>
      <c r="K52" s="346">
        <v>0</v>
      </c>
      <c r="L52" s="184">
        <f t="shared" si="5"/>
        <v>50</v>
      </c>
      <c r="M52" s="346">
        <v>0</v>
      </c>
      <c r="N52" s="346">
        <v>0</v>
      </c>
      <c r="O52" s="185">
        <v>50</v>
      </c>
    </row>
    <row r="53" spans="1:15" ht="15.75">
      <c r="A53" s="118">
        <v>34</v>
      </c>
      <c r="B53" s="120" t="s">
        <v>217</v>
      </c>
      <c r="C53" s="184">
        <f t="shared" si="2"/>
        <v>77</v>
      </c>
      <c r="D53" s="185">
        <v>53</v>
      </c>
      <c r="E53" s="185">
        <v>24</v>
      </c>
      <c r="F53" s="184">
        <f t="shared" si="3"/>
        <v>617</v>
      </c>
      <c r="G53" s="184">
        <f t="shared" si="4"/>
        <v>617</v>
      </c>
      <c r="H53" s="185">
        <v>150</v>
      </c>
      <c r="I53" s="346">
        <v>0</v>
      </c>
      <c r="J53" s="185">
        <v>467</v>
      </c>
      <c r="K53" s="346">
        <v>0</v>
      </c>
      <c r="L53" s="363">
        <f>M53+N53+O53</f>
        <v>0</v>
      </c>
      <c r="M53" s="346">
        <v>0</v>
      </c>
      <c r="N53" s="346">
        <v>0</v>
      </c>
      <c r="O53" s="346">
        <v>0</v>
      </c>
    </row>
    <row r="54" spans="1:15" ht="15.75">
      <c r="A54" s="118">
        <v>35</v>
      </c>
      <c r="B54" s="120" t="s">
        <v>218</v>
      </c>
      <c r="C54" s="184">
        <f t="shared" si="2"/>
        <v>54</v>
      </c>
      <c r="D54" s="185">
        <v>54</v>
      </c>
      <c r="E54" s="346">
        <v>0</v>
      </c>
      <c r="F54" s="184">
        <f t="shared" si="3"/>
        <v>1687</v>
      </c>
      <c r="G54" s="184">
        <f t="shared" si="4"/>
        <v>507</v>
      </c>
      <c r="H54" s="185">
        <f>131</f>
        <v>131</v>
      </c>
      <c r="I54" s="185">
        <v>376</v>
      </c>
      <c r="J54" s="185"/>
      <c r="K54" s="185"/>
      <c r="L54" s="184">
        <f t="shared" si="5"/>
        <v>1180</v>
      </c>
      <c r="M54" s="185">
        <v>105</v>
      </c>
      <c r="N54" s="185"/>
      <c r="O54" s="185">
        <v>1075</v>
      </c>
    </row>
    <row r="55" spans="1:15" ht="15.75">
      <c r="A55" s="118">
        <v>36</v>
      </c>
      <c r="B55" s="121" t="s">
        <v>219</v>
      </c>
      <c r="C55" s="184">
        <f t="shared" si="2"/>
        <v>43</v>
      </c>
      <c r="D55" s="185">
        <v>9</v>
      </c>
      <c r="E55" s="185">
        <v>34</v>
      </c>
      <c r="F55" s="184">
        <f t="shared" si="3"/>
        <v>1235</v>
      </c>
      <c r="G55" s="184">
        <f t="shared" si="4"/>
        <v>1235</v>
      </c>
      <c r="H55" s="185">
        <f>173+553</f>
        <v>726</v>
      </c>
      <c r="I55" s="346">
        <v>0</v>
      </c>
      <c r="J55" s="185">
        <v>437</v>
      </c>
      <c r="K55" s="185">
        <f>0+69+2+1</f>
        <v>72</v>
      </c>
      <c r="L55" s="363">
        <f>M55+N55+O55</f>
        <v>0</v>
      </c>
      <c r="M55" s="346">
        <v>0</v>
      </c>
      <c r="N55" s="346">
        <v>0</v>
      </c>
      <c r="O55" s="346">
        <v>0</v>
      </c>
    </row>
    <row r="56" spans="1:15" ht="15.75">
      <c r="A56" s="118">
        <v>37</v>
      </c>
      <c r="B56" s="121" t="s">
        <v>220</v>
      </c>
      <c r="C56" s="184">
        <f t="shared" si="2"/>
        <v>33</v>
      </c>
      <c r="D56" s="185">
        <v>33</v>
      </c>
      <c r="E56" s="346">
        <v>0</v>
      </c>
      <c r="F56" s="184">
        <f>G56+L56</f>
        <v>601</v>
      </c>
      <c r="G56" s="184">
        <f>H56+I56+J56+K56</f>
        <v>595</v>
      </c>
      <c r="H56" s="185">
        <f>227+139</f>
        <v>366</v>
      </c>
      <c r="I56" s="346">
        <v>0</v>
      </c>
      <c r="J56" s="185">
        <v>229</v>
      </c>
      <c r="K56" s="346">
        <v>0</v>
      </c>
      <c r="L56" s="184">
        <f t="shared" si="5"/>
        <v>6</v>
      </c>
      <c r="M56" s="219">
        <v>1</v>
      </c>
      <c r="N56" s="346">
        <v>0</v>
      </c>
      <c r="O56" s="219">
        <v>5</v>
      </c>
    </row>
    <row r="57" spans="1:15" ht="15.75">
      <c r="A57" s="118">
        <v>38</v>
      </c>
      <c r="B57" s="121" t="s">
        <v>221</v>
      </c>
      <c r="C57" s="184">
        <f t="shared" si="2"/>
        <v>77</v>
      </c>
      <c r="D57" s="185">
        <v>77</v>
      </c>
      <c r="E57" s="346">
        <v>0</v>
      </c>
      <c r="F57" s="184">
        <f t="shared" si="3"/>
        <v>3548</v>
      </c>
      <c r="G57" s="184">
        <f t="shared" si="4"/>
        <v>2587</v>
      </c>
      <c r="H57" s="185">
        <f>844+1209</f>
        <v>2053</v>
      </c>
      <c r="I57" s="185">
        <v>22</v>
      </c>
      <c r="J57" s="185">
        <v>500</v>
      </c>
      <c r="K57" s="185">
        <f>4+2+1+5+0+0</f>
        <v>12</v>
      </c>
      <c r="L57" s="184">
        <f t="shared" si="5"/>
        <v>961</v>
      </c>
      <c r="M57" s="219">
        <v>50</v>
      </c>
      <c r="N57" s="219">
        <v>816</v>
      </c>
      <c r="O57" s="219">
        <v>95</v>
      </c>
    </row>
    <row r="58" spans="1:15" ht="15.75">
      <c r="A58" s="118">
        <v>39</v>
      </c>
      <c r="B58" s="121" t="s">
        <v>222</v>
      </c>
      <c r="C58" s="184">
        <f t="shared" si="2"/>
        <v>69</v>
      </c>
      <c r="D58" s="185">
        <v>69</v>
      </c>
      <c r="E58" s="185"/>
      <c r="F58" s="184">
        <f t="shared" si="3"/>
        <v>1726</v>
      </c>
      <c r="G58" s="184">
        <f t="shared" si="4"/>
        <v>1675</v>
      </c>
      <c r="H58" s="185">
        <f>283+123</f>
        <v>406</v>
      </c>
      <c r="I58" s="185">
        <v>12</v>
      </c>
      <c r="J58" s="185">
        <v>1256</v>
      </c>
      <c r="K58" s="185">
        <v>1</v>
      </c>
      <c r="L58" s="184">
        <f t="shared" si="5"/>
        <v>51</v>
      </c>
      <c r="M58" s="219"/>
      <c r="N58" s="219"/>
      <c r="O58" s="219">
        <v>51</v>
      </c>
    </row>
    <row r="59" spans="1:15" ht="15.75">
      <c r="A59" s="118">
        <v>40</v>
      </c>
      <c r="B59" s="121" t="s">
        <v>223</v>
      </c>
      <c r="C59" s="184">
        <f t="shared" si="2"/>
        <v>105</v>
      </c>
      <c r="D59" s="185">
        <v>105</v>
      </c>
      <c r="E59" s="346">
        <v>0</v>
      </c>
      <c r="F59" s="184">
        <f t="shared" si="3"/>
        <v>2311</v>
      </c>
      <c r="G59" s="184">
        <f t="shared" si="4"/>
        <v>2081</v>
      </c>
      <c r="H59" s="185">
        <f>233+616</f>
        <v>849</v>
      </c>
      <c r="I59" s="185">
        <v>22</v>
      </c>
      <c r="J59" s="185">
        <v>1210</v>
      </c>
      <c r="K59" s="346">
        <v>0</v>
      </c>
      <c r="L59" s="184">
        <f t="shared" si="5"/>
        <v>230</v>
      </c>
      <c r="M59" s="346">
        <v>0</v>
      </c>
      <c r="N59" s="185">
        <v>229</v>
      </c>
      <c r="O59" s="185">
        <v>1</v>
      </c>
    </row>
    <row r="60" spans="1:15" ht="15.75">
      <c r="A60" s="118">
        <v>41</v>
      </c>
      <c r="B60" s="121" t="s">
        <v>224</v>
      </c>
      <c r="C60" s="184">
        <f t="shared" si="2"/>
        <v>23</v>
      </c>
      <c r="D60" s="185">
        <v>23</v>
      </c>
      <c r="E60" s="346">
        <v>0</v>
      </c>
      <c r="F60" s="184">
        <f t="shared" si="3"/>
        <v>563</v>
      </c>
      <c r="G60" s="184">
        <f t="shared" si="4"/>
        <v>553</v>
      </c>
      <c r="H60" s="185">
        <f>176+46</f>
        <v>222</v>
      </c>
      <c r="I60" s="185">
        <v>2</v>
      </c>
      <c r="J60" s="185">
        <v>329</v>
      </c>
      <c r="K60" s="346">
        <v>0</v>
      </c>
      <c r="L60" s="184">
        <f t="shared" si="5"/>
        <v>10</v>
      </c>
      <c r="M60" s="219">
        <v>1</v>
      </c>
      <c r="N60" s="346">
        <v>0</v>
      </c>
      <c r="O60" s="219">
        <v>9</v>
      </c>
    </row>
    <row r="61" spans="1:15" ht="15.75">
      <c r="A61" s="118">
        <v>42</v>
      </c>
      <c r="B61" s="121" t="s">
        <v>225</v>
      </c>
      <c r="C61" s="184">
        <f t="shared" si="2"/>
        <v>49</v>
      </c>
      <c r="D61" s="185">
        <v>30</v>
      </c>
      <c r="E61" s="185">
        <v>19</v>
      </c>
      <c r="F61" s="363">
        <f>G61+H61+I61</f>
        <v>0</v>
      </c>
      <c r="G61" s="363">
        <f>H61+I61+J61</f>
        <v>0</v>
      </c>
      <c r="H61" s="303"/>
      <c r="I61" s="303"/>
      <c r="J61" s="303"/>
      <c r="K61" s="303"/>
      <c r="L61" s="363">
        <f>M61+N61+O61</f>
        <v>0</v>
      </c>
      <c r="M61" s="303"/>
      <c r="N61" s="303"/>
      <c r="O61" s="303"/>
    </row>
    <row r="62" spans="1:15" ht="15.75">
      <c r="A62" s="118">
        <v>43</v>
      </c>
      <c r="B62" s="121" t="s">
        <v>226</v>
      </c>
      <c r="C62" s="184">
        <f t="shared" si="2"/>
        <v>35</v>
      </c>
      <c r="D62" s="185">
        <v>35</v>
      </c>
      <c r="E62" s="346">
        <v>0</v>
      </c>
      <c r="F62" s="184">
        <f t="shared" si="3"/>
        <v>2337</v>
      </c>
      <c r="G62" s="184">
        <f t="shared" si="4"/>
        <v>1652</v>
      </c>
      <c r="H62" s="185">
        <f>308+165</f>
        <v>473</v>
      </c>
      <c r="I62" s="185">
        <v>12</v>
      </c>
      <c r="J62" s="185">
        <v>1167</v>
      </c>
      <c r="K62" s="346">
        <v>0</v>
      </c>
      <c r="L62" s="184">
        <f t="shared" si="5"/>
        <v>685</v>
      </c>
      <c r="M62" s="219">
        <v>1</v>
      </c>
      <c r="N62" s="219">
        <v>22</v>
      </c>
      <c r="O62" s="219">
        <v>662</v>
      </c>
    </row>
    <row r="63" spans="1:15" ht="15.75">
      <c r="A63" s="118">
        <v>44</v>
      </c>
      <c r="B63" s="121" t="s">
        <v>227</v>
      </c>
      <c r="C63" s="184">
        <f t="shared" si="2"/>
        <v>59</v>
      </c>
      <c r="D63" s="185">
        <v>59</v>
      </c>
      <c r="E63" s="185"/>
      <c r="F63" s="184">
        <f t="shared" si="3"/>
        <v>1038</v>
      </c>
      <c r="G63" s="184">
        <f t="shared" si="4"/>
        <v>1037</v>
      </c>
      <c r="H63" s="185">
        <f>246+454</f>
        <v>700</v>
      </c>
      <c r="I63" s="185"/>
      <c r="J63" s="185">
        <v>194</v>
      </c>
      <c r="K63" s="185">
        <f>0+2+2+136+3</f>
        <v>143</v>
      </c>
      <c r="L63" s="184">
        <f t="shared" si="5"/>
        <v>1</v>
      </c>
      <c r="M63" s="219">
        <v>1</v>
      </c>
      <c r="N63" s="219"/>
      <c r="O63" s="219"/>
    </row>
    <row r="64" spans="1:15" s="95" customFormat="1" ht="15.75">
      <c r="A64" s="118">
        <v>45</v>
      </c>
      <c r="B64" s="122" t="s">
        <v>233</v>
      </c>
      <c r="C64" s="184">
        <f t="shared" si="2"/>
        <v>67</v>
      </c>
      <c r="D64" s="185">
        <v>40</v>
      </c>
      <c r="E64" s="185">
        <v>27</v>
      </c>
      <c r="F64" s="184">
        <f t="shared" si="3"/>
        <v>1575</v>
      </c>
      <c r="G64" s="184">
        <f t="shared" si="4"/>
        <v>547</v>
      </c>
      <c r="H64" s="185">
        <f>166+86</f>
        <v>252</v>
      </c>
      <c r="I64" s="185">
        <v>3</v>
      </c>
      <c r="J64" s="185">
        <v>292</v>
      </c>
      <c r="K64" s="185"/>
      <c r="L64" s="184">
        <f t="shared" si="5"/>
        <v>1028</v>
      </c>
      <c r="M64" s="185"/>
      <c r="N64" s="185"/>
      <c r="O64" s="185">
        <v>1028</v>
      </c>
    </row>
    <row r="65" spans="1:15" s="95" customFormat="1" ht="15.75">
      <c r="A65" s="118">
        <v>46</v>
      </c>
      <c r="B65" s="122" t="s">
        <v>234</v>
      </c>
      <c r="C65" s="184">
        <f t="shared" si="2"/>
        <v>15</v>
      </c>
      <c r="D65" s="185">
        <f>6+5</f>
        <v>11</v>
      </c>
      <c r="E65" s="185">
        <v>4</v>
      </c>
      <c r="F65" s="184">
        <f t="shared" si="3"/>
        <v>835</v>
      </c>
      <c r="G65" s="184">
        <f t="shared" si="4"/>
        <v>835</v>
      </c>
      <c r="H65" s="185">
        <f>303+532</f>
        <v>835</v>
      </c>
      <c r="I65" s="185"/>
      <c r="J65" s="185"/>
      <c r="K65" s="185"/>
      <c r="L65" s="363">
        <f>M65+N65+O65</f>
        <v>0</v>
      </c>
      <c r="M65" s="185"/>
      <c r="N65" s="185"/>
      <c r="O65" s="185"/>
    </row>
    <row r="66" spans="1:15" s="95" customFormat="1" ht="15.75">
      <c r="A66" s="118">
        <v>47</v>
      </c>
      <c r="B66" s="122" t="s">
        <v>235</v>
      </c>
      <c r="C66" s="184">
        <f t="shared" si="2"/>
        <v>53</v>
      </c>
      <c r="D66" s="185">
        <v>21</v>
      </c>
      <c r="E66" s="185">
        <v>32</v>
      </c>
      <c r="F66" s="184">
        <f t="shared" si="3"/>
        <v>1311</v>
      </c>
      <c r="G66" s="184">
        <f t="shared" si="4"/>
        <v>588</v>
      </c>
      <c r="H66" s="185">
        <f>83+258</f>
        <v>341</v>
      </c>
      <c r="I66" s="185">
        <v>44</v>
      </c>
      <c r="J66" s="185">
        <v>174</v>
      </c>
      <c r="K66" s="185">
        <v>29</v>
      </c>
      <c r="L66" s="184">
        <f t="shared" si="5"/>
        <v>723</v>
      </c>
      <c r="M66" s="185">
        <v>4</v>
      </c>
      <c r="N66" s="185">
        <v>10</v>
      </c>
      <c r="O66" s="185">
        <v>709</v>
      </c>
    </row>
    <row r="67" spans="1:15" s="95" customFormat="1" ht="15.75">
      <c r="A67" s="118">
        <v>48</v>
      </c>
      <c r="B67" s="122" t="s">
        <v>236</v>
      </c>
      <c r="C67" s="184">
        <f t="shared" si="2"/>
        <v>19</v>
      </c>
      <c r="D67" s="185">
        <v>19</v>
      </c>
      <c r="E67" s="346">
        <v>0</v>
      </c>
      <c r="F67" s="184">
        <f t="shared" si="3"/>
        <v>2793</v>
      </c>
      <c r="G67" s="184">
        <f t="shared" si="4"/>
        <v>2787</v>
      </c>
      <c r="H67" s="185">
        <f>552+973</f>
        <v>1525</v>
      </c>
      <c r="I67" s="185">
        <v>6</v>
      </c>
      <c r="J67" s="185">
        <v>1256</v>
      </c>
      <c r="K67" s="346">
        <v>0</v>
      </c>
      <c r="L67" s="184">
        <f t="shared" si="5"/>
        <v>6</v>
      </c>
      <c r="M67" s="346">
        <v>0</v>
      </c>
      <c r="N67" s="346">
        <v>0</v>
      </c>
      <c r="O67" s="185">
        <v>6</v>
      </c>
    </row>
    <row r="68" spans="1:15" s="95" customFormat="1" ht="15.75">
      <c r="A68" s="118">
        <v>49</v>
      </c>
      <c r="B68" s="122" t="s">
        <v>237</v>
      </c>
      <c r="C68" s="184">
        <f t="shared" si="2"/>
        <v>14</v>
      </c>
      <c r="D68" s="185">
        <v>14</v>
      </c>
      <c r="E68" s="185"/>
      <c r="F68" s="184">
        <f t="shared" si="3"/>
        <v>830</v>
      </c>
      <c r="G68" s="184">
        <f t="shared" si="4"/>
        <v>829</v>
      </c>
      <c r="H68" s="185">
        <f>204+223</f>
        <v>427</v>
      </c>
      <c r="I68" s="185"/>
      <c r="J68" s="185">
        <v>402</v>
      </c>
      <c r="K68" s="185"/>
      <c r="L68" s="184">
        <f t="shared" si="5"/>
        <v>1</v>
      </c>
      <c r="M68" s="185">
        <v>1</v>
      </c>
      <c r="N68" s="346">
        <v>0</v>
      </c>
      <c r="O68" s="346">
        <v>0</v>
      </c>
    </row>
    <row r="69" spans="1:15" s="95" customFormat="1" ht="15.75">
      <c r="A69" s="118">
        <v>50</v>
      </c>
      <c r="B69" s="122" t="s">
        <v>238</v>
      </c>
      <c r="C69" s="184">
        <f t="shared" si="2"/>
        <v>89</v>
      </c>
      <c r="D69" s="185">
        <v>82</v>
      </c>
      <c r="E69" s="185">
        <v>7</v>
      </c>
      <c r="F69" s="184">
        <f t="shared" si="3"/>
        <v>2026</v>
      </c>
      <c r="G69" s="184">
        <f t="shared" si="4"/>
        <v>1430</v>
      </c>
      <c r="H69" s="185">
        <f>219+1091</f>
        <v>1310</v>
      </c>
      <c r="I69" s="346">
        <v>0</v>
      </c>
      <c r="J69" s="185">
        <v>71</v>
      </c>
      <c r="K69" s="185">
        <f>0+1+28+16+0+4+0</f>
        <v>49</v>
      </c>
      <c r="L69" s="184">
        <f t="shared" si="5"/>
        <v>596</v>
      </c>
      <c r="M69" s="346">
        <v>0</v>
      </c>
      <c r="N69" s="346">
        <v>0</v>
      </c>
      <c r="O69" s="185">
        <v>596</v>
      </c>
    </row>
    <row r="70" spans="1:15" s="95" customFormat="1" ht="15.75">
      <c r="A70" s="118">
        <v>51</v>
      </c>
      <c r="B70" s="123" t="s">
        <v>239</v>
      </c>
      <c r="C70" s="184">
        <f t="shared" si="2"/>
        <v>61</v>
      </c>
      <c r="D70" s="185">
        <v>24</v>
      </c>
      <c r="E70" s="185">
        <v>37</v>
      </c>
      <c r="F70" s="184">
        <f t="shared" si="3"/>
        <v>1156</v>
      </c>
      <c r="G70" s="184">
        <f t="shared" si="4"/>
        <v>1156</v>
      </c>
      <c r="H70" s="185">
        <f>140+141</f>
        <v>281</v>
      </c>
      <c r="I70" s="346">
        <v>0</v>
      </c>
      <c r="J70" s="185">
        <v>875</v>
      </c>
      <c r="K70" s="346">
        <v>0</v>
      </c>
      <c r="L70" s="363">
        <f>M70+N70+O70</f>
        <v>0</v>
      </c>
      <c r="M70" s="346">
        <v>0</v>
      </c>
      <c r="N70" s="346">
        <v>0</v>
      </c>
      <c r="O70" s="346">
        <v>0</v>
      </c>
    </row>
    <row r="71" spans="1:15" s="95" customFormat="1" ht="15.75">
      <c r="A71" s="118">
        <v>52</v>
      </c>
      <c r="B71" s="123" t="s">
        <v>240</v>
      </c>
      <c r="C71" s="184">
        <f t="shared" si="2"/>
        <v>88</v>
      </c>
      <c r="D71" s="185">
        <v>88</v>
      </c>
      <c r="E71" s="346">
        <v>0</v>
      </c>
      <c r="F71" s="184">
        <f t="shared" si="3"/>
        <v>1606</v>
      </c>
      <c r="G71" s="184">
        <f t="shared" si="4"/>
        <v>1580</v>
      </c>
      <c r="H71" s="185">
        <f>388+407</f>
        <v>795</v>
      </c>
      <c r="I71" s="346">
        <v>0</v>
      </c>
      <c r="J71" s="185">
        <v>783</v>
      </c>
      <c r="K71" s="185">
        <f>1+1+0</f>
        <v>2</v>
      </c>
      <c r="L71" s="184">
        <f t="shared" si="5"/>
        <v>26</v>
      </c>
      <c r="M71" s="346">
        <v>0</v>
      </c>
      <c r="N71" s="346">
        <v>0</v>
      </c>
      <c r="O71" s="185">
        <v>26</v>
      </c>
    </row>
    <row r="72" spans="1:15" s="95" customFormat="1" ht="15.75">
      <c r="A72" s="118">
        <v>53</v>
      </c>
      <c r="B72" s="123" t="s">
        <v>241</v>
      </c>
      <c r="C72" s="184">
        <f t="shared" si="2"/>
        <v>40</v>
      </c>
      <c r="D72" s="185">
        <v>40</v>
      </c>
      <c r="E72" s="185"/>
      <c r="F72" s="184">
        <f t="shared" si="3"/>
        <v>3921</v>
      </c>
      <c r="G72" s="184">
        <f t="shared" si="4"/>
        <v>1097</v>
      </c>
      <c r="H72" s="185">
        <f>416+332</f>
        <v>748</v>
      </c>
      <c r="I72" s="185">
        <v>12</v>
      </c>
      <c r="J72" s="185">
        <v>337</v>
      </c>
      <c r="K72" s="185"/>
      <c r="L72" s="184">
        <f t="shared" si="5"/>
        <v>2824</v>
      </c>
      <c r="M72" s="185"/>
      <c r="N72" s="185"/>
      <c r="O72" s="185">
        <v>2824</v>
      </c>
    </row>
    <row r="73" spans="1:15" s="95" customFormat="1" ht="15.75">
      <c r="A73" s="118">
        <v>54</v>
      </c>
      <c r="B73" s="123" t="s">
        <v>242</v>
      </c>
      <c r="C73" s="184">
        <f t="shared" si="2"/>
        <v>47</v>
      </c>
      <c r="D73" s="185">
        <v>40</v>
      </c>
      <c r="E73" s="185">
        <v>7</v>
      </c>
      <c r="F73" s="184">
        <f t="shared" si="3"/>
        <v>1447</v>
      </c>
      <c r="G73" s="184">
        <f t="shared" si="4"/>
        <v>1357</v>
      </c>
      <c r="H73" s="185">
        <f>32+359</f>
        <v>391</v>
      </c>
      <c r="I73" s="185">
        <v>22</v>
      </c>
      <c r="J73" s="185">
        <v>902</v>
      </c>
      <c r="K73" s="185">
        <f>5+2+5+6+2+4+18</f>
        <v>42</v>
      </c>
      <c r="L73" s="184">
        <f t="shared" si="5"/>
        <v>90</v>
      </c>
      <c r="M73" s="185">
        <v>12</v>
      </c>
      <c r="N73" s="185">
        <v>4</v>
      </c>
      <c r="O73" s="185">
        <v>74</v>
      </c>
    </row>
    <row r="74" spans="1:15" s="95" customFormat="1" ht="15.75">
      <c r="A74" s="118">
        <v>55</v>
      </c>
      <c r="B74" s="123" t="s">
        <v>243</v>
      </c>
      <c r="C74" s="184">
        <f t="shared" si="2"/>
        <v>48</v>
      </c>
      <c r="D74" s="185">
        <v>45</v>
      </c>
      <c r="E74" s="185">
        <v>3</v>
      </c>
      <c r="F74" s="184">
        <f t="shared" si="3"/>
        <v>1950</v>
      </c>
      <c r="G74" s="184">
        <f t="shared" si="4"/>
        <v>1857</v>
      </c>
      <c r="H74" s="185">
        <f>286+576</f>
        <v>862</v>
      </c>
      <c r="I74" s="185">
        <v>23</v>
      </c>
      <c r="J74" s="185">
        <v>971</v>
      </c>
      <c r="K74" s="185">
        <v>1</v>
      </c>
      <c r="L74" s="184">
        <f t="shared" si="5"/>
        <v>93</v>
      </c>
      <c r="M74" s="346">
        <v>0</v>
      </c>
      <c r="N74" s="185">
        <v>78</v>
      </c>
      <c r="O74" s="185">
        <v>15</v>
      </c>
    </row>
    <row r="75" spans="1:15" s="95" customFormat="1" ht="15.75">
      <c r="A75" s="118">
        <v>56</v>
      </c>
      <c r="B75" s="123" t="s">
        <v>244</v>
      </c>
      <c r="C75" s="184">
        <f t="shared" si="2"/>
        <v>69</v>
      </c>
      <c r="D75" s="185">
        <v>61</v>
      </c>
      <c r="E75" s="185">
        <v>8</v>
      </c>
      <c r="F75" s="184">
        <f t="shared" si="3"/>
        <v>1563</v>
      </c>
      <c r="G75" s="184">
        <f t="shared" si="4"/>
        <v>1563</v>
      </c>
      <c r="H75" s="185">
        <f>345+450</f>
        <v>795</v>
      </c>
      <c r="I75" s="185">
        <v>483</v>
      </c>
      <c r="J75" s="185">
        <v>284</v>
      </c>
      <c r="K75" s="185">
        <v>1</v>
      </c>
      <c r="L75" s="363">
        <f>M75+N75+O75</f>
        <v>0</v>
      </c>
      <c r="M75" s="346">
        <v>0</v>
      </c>
      <c r="N75" s="346">
        <v>0</v>
      </c>
      <c r="O75" s="346">
        <v>0</v>
      </c>
    </row>
    <row r="76" spans="1:15" s="95" customFormat="1" ht="15.75">
      <c r="A76" s="118">
        <v>57</v>
      </c>
      <c r="B76" s="123" t="s">
        <v>245</v>
      </c>
      <c r="C76" s="184">
        <f t="shared" si="2"/>
        <v>65</v>
      </c>
      <c r="D76" s="185">
        <v>65</v>
      </c>
      <c r="E76" s="185"/>
      <c r="F76" s="184">
        <f t="shared" si="3"/>
        <v>3280</v>
      </c>
      <c r="G76" s="184">
        <f t="shared" si="4"/>
        <v>1455</v>
      </c>
      <c r="H76" s="185">
        <f>451+314</f>
        <v>765</v>
      </c>
      <c r="I76" s="185">
        <v>129</v>
      </c>
      <c r="J76" s="185">
        <v>561</v>
      </c>
      <c r="K76" s="185"/>
      <c r="L76" s="184">
        <f t="shared" si="5"/>
        <v>1825</v>
      </c>
      <c r="M76" s="185"/>
      <c r="N76" s="185"/>
      <c r="O76" s="185">
        <v>1825</v>
      </c>
    </row>
    <row r="77" spans="1:15" s="95" customFormat="1" ht="15.75">
      <c r="A77" s="118">
        <v>58</v>
      </c>
      <c r="B77" s="123" t="s">
        <v>246</v>
      </c>
      <c r="C77" s="184">
        <f t="shared" si="2"/>
        <v>247</v>
      </c>
      <c r="D77" s="185">
        <v>226</v>
      </c>
      <c r="E77" s="185">
        <v>21</v>
      </c>
      <c r="F77" s="184">
        <f t="shared" si="3"/>
        <v>12004</v>
      </c>
      <c r="G77" s="184">
        <f t="shared" si="4"/>
        <v>10237</v>
      </c>
      <c r="H77" s="185">
        <f>2338+2068</f>
        <v>4406</v>
      </c>
      <c r="I77" s="185">
        <v>326</v>
      </c>
      <c r="J77" s="185">
        <v>5449</v>
      </c>
      <c r="K77" s="185">
        <f>11+4+0+3+38</f>
        <v>56</v>
      </c>
      <c r="L77" s="184">
        <f t="shared" si="5"/>
        <v>1767</v>
      </c>
      <c r="M77" s="185">
        <v>7</v>
      </c>
      <c r="N77" s="185">
        <v>1760</v>
      </c>
      <c r="O77" s="346">
        <v>0</v>
      </c>
    </row>
    <row r="78" spans="1:15" s="95" customFormat="1" ht="15.75">
      <c r="A78" s="118">
        <v>59</v>
      </c>
      <c r="B78" s="123" t="s">
        <v>247</v>
      </c>
      <c r="C78" s="184">
        <f t="shared" si="2"/>
        <v>54</v>
      </c>
      <c r="D78" s="185">
        <v>46</v>
      </c>
      <c r="E78" s="185">
        <v>8</v>
      </c>
      <c r="F78" s="184">
        <f t="shared" si="3"/>
        <v>487</v>
      </c>
      <c r="G78" s="184">
        <f t="shared" si="4"/>
        <v>468</v>
      </c>
      <c r="H78" s="185">
        <f>163+220</f>
        <v>383</v>
      </c>
      <c r="I78" s="346">
        <v>0</v>
      </c>
      <c r="J78" s="185">
        <v>84</v>
      </c>
      <c r="K78" s="185">
        <v>1</v>
      </c>
      <c r="L78" s="184">
        <f t="shared" si="5"/>
        <v>19</v>
      </c>
      <c r="M78" s="346">
        <v>0</v>
      </c>
      <c r="N78" s="346">
        <v>0</v>
      </c>
      <c r="O78" s="185">
        <v>19</v>
      </c>
    </row>
    <row r="79" spans="1:15" s="95" customFormat="1" ht="15.75">
      <c r="A79" s="118">
        <v>60</v>
      </c>
      <c r="B79" s="123" t="s">
        <v>248</v>
      </c>
      <c r="C79" s="184">
        <f t="shared" si="2"/>
        <v>47</v>
      </c>
      <c r="D79" s="185">
        <v>36</v>
      </c>
      <c r="E79" s="185">
        <v>11</v>
      </c>
      <c r="F79" s="184">
        <f t="shared" si="3"/>
        <v>732</v>
      </c>
      <c r="G79" s="184">
        <f t="shared" si="4"/>
        <v>729</v>
      </c>
      <c r="H79" s="185">
        <f>12+170+198+90</f>
        <v>470</v>
      </c>
      <c r="I79" s="346">
        <v>0</v>
      </c>
      <c r="J79" s="185">
        <v>259</v>
      </c>
      <c r="K79" s="346">
        <v>0</v>
      </c>
      <c r="L79" s="184">
        <f t="shared" si="5"/>
        <v>3</v>
      </c>
      <c r="M79" s="185">
        <v>3</v>
      </c>
      <c r="N79" s="346">
        <v>0</v>
      </c>
      <c r="O79" s="346">
        <v>0</v>
      </c>
    </row>
    <row r="80" spans="1:15" s="95" customFormat="1" ht="15.75">
      <c r="A80" s="118">
        <v>61</v>
      </c>
      <c r="B80" s="123" t="s">
        <v>249</v>
      </c>
      <c r="C80" s="184">
        <f t="shared" si="2"/>
        <v>52</v>
      </c>
      <c r="D80" s="185">
        <v>29</v>
      </c>
      <c r="E80" s="185">
        <v>23</v>
      </c>
      <c r="F80" s="184">
        <f t="shared" si="3"/>
        <v>633</v>
      </c>
      <c r="G80" s="184">
        <f t="shared" si="4"/>
        <v>495</v>
      </c>
      <c r="H80" s="185">
        <f>213+132</f>
        <v>345</v>
      </c>
      <c r="I80" s="346">
        <v>0</v>
      </c>
      <c r="J80" s="185">
        <v>99</v>
      </c>
      <c r="K80" s="185">
        <f>0+51+0</f>
        <v>51</v>
      </c>
      <c r="L80" s="184">
        <f t="shared" si="5"/>
        <v>138</v>
      </c>
      <c r="M80" s="346">
        <v>0</v>
      </c>
      <c r="N80" s="346">
        <v>0</v>
      </c>
      <c r="O80" s="185">
        <v>138</v>
      </c>
    </row>
    <row r="81" spans="1:15" s="95" customFormat="1" ht="20.25" customHeight="1">
      <c r="A81" s="118">
        <v>62</v>
      </c>
      <c r="B81" s="123" t="s">
        <v>250</v>
      </c>
      <c r="C81" s="184">
        <f t="shared" si="2"/>
        <v>112</v>
      </c>
      <c r="D81" s="185">
        <v>108</v>
      </c>
      <c r="E81" s="185">
        <v>4</v>
      </c>
      <c r="F81" s="184">
        <f t="shared" si="3"/>
        <v>5044</v>
      </c>
      <c r="G81" s="184">
        <f t="shared" si="4"/>
        <v>1620</v>
      </c>
      <c r="H81" s="185">
        <f>251+439</f>
        <v>690</v>
      </c>
      <c r="I81" s="185">
        <v>41</v>
      </c>
      <c r="J81" s="185">
        <v>879</v>
      </c>
      <c r="K81" s="185">
        <f>1+5+1+3</f>
        <v>10</v>
      </c>
      <c r="L81" s="184">
        <f t="shared" si="5"/>
        <v>3424</v>
      </c>
      <c r="M81" s="185"/>
      <c r="N81" s="185"/>
      <c r="O81" s="185">
        <v>3424</v>
      </c>
    </row>
    <row r="82" spans="1:15" s="95" customFormat="1" ht="15.75">
      <c r="A82" s="118">
        <v>63</v>
      </c>
      <c r="B82" s="123" t="s">
        <v>251</v>
      </c>
      <c r="C82" s="184">
        <f t="shared" si="2"/>
        <v>46</v>
      </c>
      <c r="D82" s="185">
        <v>46</v>
      </c>
      <c r="E82" s="185"/>
      <c r="F82" s="184">
        <f t="shared" si="3"/>
        <v>602</v>
      </c>
      <c r="G82" s="184">
        <f t="shared" si="4"/>
        <v>590</v>
      </c>
      <c r="H82" s="185">
        <f>137+108</f>
        <v>245</v>
      </c>
      <c r="I82" s="185">
        <v>6</v>
      </c>
      <c r="J82" s="185">
        <v>301</v>
      </c>
      <c r="K82" s="185">
        <f>0+37+1+0</f>
        <v>38</v>
      </c>
      <c r="L82" s="184">
        <f t="shared" si="5"/>
        <v>12</v>
      </c>
      <c r="M82" s="346">
        <v>0</v>
      </c>
      <c r="N82" s="185">
        <v>7</v>
      </c>
      <c r="O82" s="185">
        <v>5</v>
      </c>
    </row>
    <row r="83" ht="12.75">
      <c r="B83"/>
    </row>
    <row r="84" spans="1:19" s="153" customFormat="1" ht="12.75">
      <c r="A84" s="43"/>
      <c r="B84" s="43" t="s">
        <v>254</v>
      </c>
      <c r="C84" s="32" t="s">
        <v>311</v>
      </c>
      <c r="D84" s="43"/>
      <c r="E84" s="43"/>
      <c r="F84" s="43"/>
      <c r="G84" s="43"/>
      <c r="H84" s="43"/>
      <c r="I84" s="43"/>
      <c r="J84" s="43"/>
      <c r="K84" s="151"/>
      <c r="L84" s="43"/>
      <c r="M84" s="43"/>
      <c r="N84" s="43"/>
      <c r="O84" s="43"/>
      <c r="P84" s="43"/>
      <c r="Q84" s="43"/>
      <c r="R84" s="43"/>
      <c r="S84" s="152"/>
    </row>
    <row r="85" spans="1:18" s="150" customFormat="1" ht="12.75">
      <c r="A85" s="43"/>
      <c r="B85" s="43" t="s">
        <v>290</v>
      </c>
      <c r="C85" s="43" t="s">
        <v>291</v>
      </c>
      <c r="E85" s="43"/>
      <c r="F85" s="43"/>
      <c r="G85" s="43"/>
      <c r="H85" s="43"/>
      <c r="I85" s="43"/>
      <c r="J85" s="43"/>
      <c r="K85" s="151"/>
      <c r="L85" s="43"/>
      <c r="M85" s="43"/>
      <c r="N85" s="43"/>
      <c r="O85" s="43"/>
      <c r="P85" s="43"/>
      <c r="Q85" s="43"/>
      <c r="R85" s="43"/>
    </row>
    <row r="86" spans="1:17" s="150" customFormat="1" ht="12.75">
      <c r="A86" s="43"/>
      <c r="B86" s="156"/>
      <c r="C86" s="156" t="s">
        <v>281</v>
      </c>
      <c r="D86" s="157"/>
      <c r="E86" s="156"/>
      <c r="F86" s="156"/>
      <c r="G86" s="156"/>
      <c r="H86" s="156"/>
      <c r="I86" s="156"/>
      <c r="J86" s="156"/>
      <c r="K86" s="151"/>
      <c r="L86" s="43"/>
      <c r="M86" s="43"/>
      <c r="N86" s="43"/>
      <c r="O86" s="43"/>
      <c r="P86" s="43"/>
      <c r="Q86" s="43"/>
    </row>
    <row r="87" spans="1:17" s="150" customFormat="1" ht="12.75">
      <c r="A87" s="43"/>
      <c r="B87" s="227"/>
      <c r="C87" s="43" t="s">
        <v>258</v>
      </c>
      <c r="E87" s="43"/>
      <c r="F87" s="43"/>
      <c r="G87" s="43"/>
      <c r="H87" s="43"/>
      <c r="I87" s="43"/>
      <c r="J87" s="43"/>
      <c r="K87" s="151"/>
      <c r="L87" s="43"/>
      <c r="M87" s="43"/>
      <c r="N87" s="43"/>
      <c r="O87" s="43"/>
      <c r="P87" s="43"/>
      <c r="Q87" s="43"/>
    </row>
    <row r="88" spans="1:17" s="150" customFormat="1" ht="12.75">
      <c r="A88" s="43"/>
      <c r="B88" s="251"/>
      <c r="C88" s="43" t="s">
        <v>285</v>
      </c>
      <c r="D88" s="43"/>
      <c r="E88" s="43"/>
      <c r="F88" s="43"/>
      <c r="G88" s="43"/>
      <c r="H88" s="43"/>
      <c r="I88" s="43"/>
      <c r="J88" s="43"/>
      <c r="K88" s="43"/>
      <c r="L88" s="43"/>
      <c r="M88" s="43"/>
      <c r="N88" s="43"/>
      <c r="O88" s="43"/>
      <c r="P88" s="43"/>
      <c r="Q88" s="43"/>
    </row>
    <row r="89" spans="1:17" s="150" customFormat="1" ht="12.75">
      <c r="A89" s="43"/>
      <c r="B89" s="228"/>
      <c r="C89" s="43" t="s">
        <v>286</v>
      </c>
      <c r="D89" s="43"/>
      <c r="E89" s="43"/>
      <c r="F89" s="43"/>
      <c r="G89" s="43"/>
      <c r="H89" s="43"/>
      <c r="I89" s="43"/>
      <c r="J89" s="43"/>
      <c r="K89" s="43"/>
      <c r="L89" s="43"/>
      <c r="M89" s="43"/>
      <c r="N89" s="43"/>
      <c r="O89" s="43"/>
      <c r="P89" s="43"/>
      <c r="Q89" s="43"/>
    </row>
    <row r="90" spans="2:17" s="5" customFormat="1" ht="12.75">
      <c r="B90" s="252"/>
      <c r="C90" s="43" t="s">
        <v>288</v>
      </c>
      <c r="L90" s="16"/>
      <c r="Q90"/>
    </row>
    <row r="91" ht="12.75">
      <c r="B91"/>
    </row>
    <row r="92" ht="12.75">
      <c r="B92"/>
    </row>
    <row r="93" ht="12.75">
      <c r="B93"/>
    </row>
    <row r="94" ht="12.75">
      <c r="B94"/>
    </row>
    <row r="95" ht="12.75">
      <c r="B95"/>
    </row>
    <row r="96" spans="1:15" s="20" customFormat="1" ht="12.75">
      <c r="A96"/>
      <c r="B96"/>
      <c r="C96"/>
      <c r="D96"/>
      <c r="E96"/>
      <c r="F96"/>
      <c r="G96"/>
      <c r="H96"/>
      <c r="I96"/>
      <c r="J96"/>
      <c r="K96"/>
      <c r="L96"/>
      <c r="M96"/>
      <c r="N96"/>
      <c r="O96"/>
    </row>
    <row r="97" ht="12.75">
      <c r="B97"/>
    </row>
    <row r="98" spans="1:15" s="20" customFormat="1" ht="12.75">
      <c r="A98"/>
      <c r="B98"/>
      <c r="C98"/>
      <c r="D98"/>
      <c r="E98"/>
      <c r="F98"/>
      <c r="G98"/>
      <c r="H98"/>
      <c r="I98"/>
      <c r="J98"/>
      <c r="K98"/>
      <c r="L98"/>
      <c r="M98"/>
      <c r="N98"/>
      <c r="O98"/>
    </row>
    <row r="99" spans="1:15" s="20" customFormat="1" ht="12.75">
      <c r="A99"/>
      <c r="B99"/>
      <c r="C99"/>
      <c r="D99"/>
      <c r="E99"/>
      <c r="F99"/>
      <c r="G99"/>
      <c r="H99"/>
      <c r="I99"/>
      <c r="J99"/>
      <c r="K99"/>
      <c r="L99"/>
      <c r="M99"/>
      <c r="N99"/>
      <c r="O99"/>
    </row>
    <row r="100" ht="12.75">
      <c r="B100"/>
    </row>
    <row r="101" ht="12.75">
      <c r="B101"/>
    </row>
    <row r="102" ht="12.75">
      <c r="B102"/>
    </row>
    <row r="103" ht="12.75">
      <c r="B103"/>
    </row>
    <row r="104" ht="12.75">
      <c r="B104"/>
    </row>
    <row r="105" ht="12.75">
      <c r="B105"/>
    </row>
    <row r="106" ht="12.75">
      <c r="B106"/>
    </row>
    <row r="107" spans="1:15" s="61" customFormat="1" ht="12.75">
      <c r="A107"/>
      <c r="B107"/>
      <c r="C107"/>
      <c r="D107"/>
      <c r="E107"/>
      <c r="F107"/>
      <c r="G107"/>
      <c r="H107"/>
      <c r="I107"/>
      <c r="J107"/>
      <c r="K107"/>
      <c r="L107"/>
      <c r="M107"/>
      <c r="N107"/>
      <c r="O107"/>
    </row>
    <row r="108" ht="12.75">
      <c r="B108"/>
    </row>
    <row r="109" ht="12.75">
      <c r="B109"/>
    </row>
    <row r="110" ht="12.75">
      <c r="B110"/>
    </row>
    <row r="111" ht="12.75">
      <c r="B111"/>
    </row>
    <row r="112" ht="12.75">
      <c r="B112"/>
    </row>
    <row r="113" ht="30" customHeight="1">
      <c r="B113"/>
    </row>
    <row r="114" ht="12.75">
      <c r="B114"/>
    </row>
    <row r="115" ht="12.75">
      <c r="B115"/>
    </row>
    <row r="116" ht="12.75">
      <c r="B116"/>
    </row>
    <row r="117" ht="12.75">
      <c r="B117"/>
    </row>
    <row r="118" spans="1:15" ht="18">
      <c r="A118" s="21"/>
      <c r="B118" s="21"/>
      <c r="C118" s="21"/>
      <c r="D118" s="21"/>
      <c r="E118" s="21"/>
      <c r="F118" s="21"/>
      <c r="G118" s="21"/>
      <c r="H118" s="21"/>
      <c r="I118" s="21"/>
      <c r="J118" s="21"/>
      <c r="K118" s="21"/>
      <c r="L118" s="21"/>
      <c r="M118" s="21"/>
      <c r="N118" s="21"/>
      <c r="O118" s="21"/>
    </row>
    <row r="119" spans="1:15" ht="18">
      <c r="A119" s="21"/>
      <c r="B119" s="21"/>
      <c r="C119" s="21"/>
      <c r="D119" s="21"/>
      <c r="E119" s="21"/>
      <c r="F119" s="21"/>
      <c r="G119" s="21"/>
      <c r="H119" s="21"/>
      <c r="I119" s="21"/>
      <c r="J119" s="21"/>
      <c r="K119" s="21"/>
      <c r="L119" s="21"/>
      <c r="M119" s="21"/>
      <c r="N119" s="21"/>
      <c r="O119" s="21"/>
    </row>
    <row r="120" spans="1:15" ht="18">
      <c r="A120" s="21"/>
      <c r="B120" s="21"/>
      <c r="C120" s="21"/>
      <c r="D120" s="21"/>
      <c r="E120" s="21"/>
      <c r="F120" s="21"/>
      <c r="G120" s="21"/>
      <c r="H120" s="21"/>
      <c r="I120" s="21"/>
      <c r="J120" s="21"/>
      <c r="K120" s="21"/>
      <c r="L120" s="21"/>
      <c r="M120" s="21"/>
      <c r="N120" s="21"/>
      <c r="O120" s="21"/>
    </row>
    <row r="121" spans="1:15" ht="18">
      <c r="A121" s="21"/>
      <c r="B121" s="21"/>
      <c r="C121" s="21"/>
      <c r="D121" s="21"/>
      <c r="E121" s="21"/>
      <c r="F121" s="21"/>
      <c r="G121" s="21"/>
      <c r="H121" s="21"/>
      <c r="I121" s="21"/>
      <c r="J121" s="21"/>
      <c r="K121" s="21"/>
      <c r="L121" s="21"/>
      <c r="M121" s="21"/>
      <c r="N121" s="21"/>
      <c r="O121" s="21"/>
    </row>
    <row r="122" spans="1:15" ht="18">
      <c r="A122" s="21"/>
      <c r="B122" s="21"/>
      <c r="C122" s="21"/>
      <c r="D122" s="21"/>
      <c r="E122" s="21"/>
      <c r="F122" s="21"/>
      <c r="G122" s="21"/>
      <c r="H122" s="21"/>
      <c r="I122" s="21"/>
      <c r="J122" s="21"/>
      <c r="K122" s="21"/>
      <c r="L122" s="21"/>
      <c r="M122" s="21"/>
      <c r="N122" s="21"/>
      <c r="O122" s="21"/>
    </row>
    <row r="123" spans="1:15" ht="18">
      <c r="A123" s="21"/>
      <c r="B123" s="21"/>
      <c r="C123" s="21"/>
      <c r="D123" s="21"/>
      <c r="E123" s="21"/>
      <c r="F123" s="21"/>
      <c r="G123" s="21"/>
      <c r="H123" s="21"/>
      <c r="I123" s="21"/>
      <c r="J123" s="21"/>
      <c r="K123" s="21"/>
      <c r="L123" s="21"/>
      <c r="M123" s="21"/>
      <c r="N123" s="21"/>
      <c r="O123" s="21"/>
    </row>
    <row r="124" spans="1:15" ht="18">
      <c r="A124" s="21"/>
      <c r="B124" s="21"/>
      <c r="C124" s="21"/>
      <c r="D124" s="21"/>
      <c r="E124" s="21"/>
      <c r="F124" s="21"/>
      <c r="G124" s="21"/>
      <c r="H124" s="21"/>
      <c r="I124" s="21"/>
      <c r="J124" s="21"/>
      <c r="K124" s="21"/>
      <c r="L124" s="21"/>
      <c r="M124" s="21"/>
      <c r="N124" s="21"/>
      <c r="O124" s="21"/>
    </row>
    <row r="125" spans="1:15" ht="18">
      <c r="A125" s="21"/>
      <c r="B125" s="21"/>
      <c r="C125" s="21"/>
      <c r="D125" s="21"/>
      <c r="E125" s="21"/>
      <c r="F125" s="21"/>
      <c r="G125" s="21"/>
      <c r="H125" s="21"/>
      <c r="I125" s="21"/>
      <c r="J125" s="21"/>
      <c r="K125" s="21"/>
      <c r="L125" s="21"/>
      <c r="M125" s="21"/>
      <c r="N125" s="21"/>
      <c r="O125" s="21"/>
    </row>
    <row r="126" spans="1:15" ht="18">
      <c r="A126" s="21"/>
      <c r="B126" s="21"/>
      <c r="C126" s="21"/>
      <c r="D126" s="21"/>
      <c r="E126" s="21"/>
      <c r="F126" s="21"/>
      <c r="G126" s="21"/>
      <c r="H126" s="21"/>
      <c r="I126" s="21"/>
      <c r="J126" s="21"/>
      <c r="K126" s="21"/>
      <c r="L126" s="21"/>
      <c r="M126" s="21"/>
      <c r="N126" s="21"/>
      <c r="O126" s="21"/>
    </row>
    <row r="127" spans="1:15" ht="18">
      <c r="A127" s="21"/>
      <c r="B127" s="21"/>
      <c r="C127" s="21"/>
      <c r="D127" s="21"/>
      <c r="E127" s="21"/>
      <c r="F127" s="21"/>
      <c r="G127" s="21"/>
      <c r="H127" s="21"/>
      <c r="I127" s="21"/>
      <c r="J127" s="21"/>
      <c r="K127" s="21"/>
      <c r="L127" s="21"/>
      <c r="M127" s="21"/>
      <c r="N127" s="21"/>
      <c r="O127" s="21"/>
    </row>
    <row r="128" spans="1:15" ht="18">
      <c r="A128" s="21"/>
      <c r="B128" s="21"/>
      <c r="C128" s="21"/>
      <c r="D128" s="21"/>
      <c r="E128" s="21"/>
      <c r="F128" s="21"/>
      <c r="G128" s="21"/>
      <c r="H128" s="21"/>
      <c r="I128" s="21"/>
      <c r="J128" s="21"/>
      <c r="K128" s="21"/>
      <c r="L128" s="21"/>
      <c r="M128" s="21"/>
      <c r="N128" s="21"/>
      <c r="O128" s="21"/>
    </row>
    <row r="129" spans="1:15" ht="18">
      <c r="A129" s="21"/>
      <c r="B129" s="21"/>
      <c r="C129" s="21"/>
      <c r="D129" s="21"/>
      <c r="E129" s="21"/>
      <c r="F129" s="21"/>
      <c r="G129" s="21"/>
      <c r="H129" s="21"/>
      <c r="I129" s="21"/>
      <c r="J129" s="21"/>
      <c r="K129" s="21"/>
      <c r="L129" s="21"/>
      <c r="M129" s="21"/>
      <c r="N129" s="21"/>
      <c r="O129" s="21"/>
    </row>
    <row r="130" spans="1:15" ht="18">
      <c r="A130" s="21"/>
      <c r="B130" s="21"/>
      <c r="C130" s="21"/>
      <c r="D130" s="21"/>
      <c r="E130" s="21"/>
      <c r="F130" s="21"/>
      <c r="G130" s="21"/>
      <c r="H130" s="21"/>
      <c r="I130" s="21"/>
      <c r="J130" s="21"/>
      <c r="K130" s="21"/>
      <c r="L130" s="21"/>
      <c r="M130" s="21"/>
      <c r="N130" s="21"/>
      <c r="O130" s="21"/>
    </row>
    <row r="131" spans="1:15" ht="18">
      <c r="A131" s="21"/>
      <c r="B131" s="21"/>
      <c r="C131" s="21"/>
      <c r="D131" s="21"/>
      <c r="E131" s="21"/>
      <c r="F131" s="21"/>
      <c r="G131" s="21"/>
      <c r="H131" s="21"/>
      <c r="I131" s="21"/>
      <c r="J131" s="21"/>
      <c r="K131" s="21"/>
      <c r="L131" s="21"/>
      <c r="M131" s="21"/>
      <c r="N131" s="21"/>
      <c r="O131" s="21"/>
    </row>
    <row r="132" spans="1:15" ht="18">
      <c r="A132" s="21"/>
      <c r="B132" s="21"/>
      <c r="C132" s="21"/>
      <c r="D132" s="21"/>
      <c r="E132" s="21"/>
      <c r="F132" s="21"/>
      <c r="G132" s="21"/>
      <c r="H132" s="21"/>
      <c r="I132" s="21"/>
      <c r="J132" s="21"/>
      <c r="K132" s="21"/>
      <c r="L132" s="21"/>
      <c r="M132" s="21"/>
      <c r="N132" s="21"/>
      <c r="O132" s="21"/>
    </row>
    <row r="133" spans="1:15" ht="18">
      <c r="A133" s="21"/>
      <c r="B133" s="21"/>
      <c r="C133" s="21"/>
      <c r="D133" s="21"/>
      <c r="E133" s="21"/>
      <c r="F133" s="21"/>
      <c r="G133" s="21"/>
      <c r="H133" s="21"/>
      <c r="I133" s="21"/>
      <c r="J133" s="21"/>
      <c r="K133" s="21"/>
      <c r="L133" s="21"/>
      <c r="M133" s="21"/>
      <c r="N133" s="21"/>
      <c r="O133" s="21"/>
    </row>
    <row r="134" spans="1:15" ht="18">
      <c r="A134" s="21"/>
      <c r="B134" s="21"/>
      <c r="C134" s="21"/>
      <c r="D134" s="21"/>
      <c r="E134" s="21"/>
      <c r="F134" s="21"/>
      <c r="G134" s="21"/>
      <c r="H134" s="21"/>
      <c r="I134" s="21"/>
      <c r="J134" s="21"/>
      <c r="K134" s="21"/>
      <c r="L134" s="21"/>
      <c r="M134" s="21"/>
      <c r="N134" s="21"/>
      <c r="O134" s="21"/>
    </row>
    <row r="135" spans="1:15" ht="18">
      <c r="A135" s="21"/>
      <c r="B135" s="21"/>
      <c r="C135" s="21"/>
      <c r="D135" s="21"/>
      <c r="E135" s="21"/>
      <c r="F135" s="21"/>
      <c r="G135" s="21"/>
      <c r="H135" s="21"/>
      <c r="I135" s="21"/>
      <c r="J135" s="21"/>
      <c r="K135" s="21"/>
      <c r="L135" s="21"/>
      <c r="M135" s="21"/>
      <c r="N135" s="21"/>
      <c r="O135" s="21"/>
    </row>
    <row r="136" spans="1:15" ht="18">
      <c r="A136" s="21"/>
      <c r="B136" s="21"/>
      <c r="C136" s="21"/>
      <c r="D136" s="21"/>
      <c r="E136" s="21"/>
      <c r="F136" s="21"/>
      <c r="G136" s="21"/>
      <c r="H136" s="21"/>
      <c r="I136" s="21"/>
      <c r="J136" s="21"/>
      <c r="K136" s="21"/>
      <c r="L136" s="21"/>
      <c r="M136" s="21"/>
      <c r="N136" s="21"/>
      <c r="O136" s="21"/>
    </row>
    <row r="137" spans="1:15" ht="18">
      <c r="A137" s="21"/>
      <c r="B137" s="21"/>
      <c r="C137" s="21"/>
      <c r="D137" s="21"/>
      <c r="E137" s="21"/>
      <c r="F137" s="21"/>
      <c r="G137" s="21"/>
      <c r="H137" s="21"/>
      <c r="I137" s="21"/>
      <c r="J137" s="21"/>
      <c r="K137" s="21"/>
      <c r="L137" s="21"/>
      <c r="M137" s="21"/>
      <c r="N137" s="21"/>
      <c r="O137" s="21"/>
    </row>
    <row r="138" spans="1:15" ht="18">
      <c r="A138" s="21"/>
      <c r="B138" s="21"/>
      <c r="C138" s="21"/>
      <c r="D138" s="21"/>
      <c r="E138" s="21"/>
      <c r="F138" s="21"/>
      <c r="G138" s="21"/>
      <c r="H138" s="21"/>
      <c r="I138" s="21"/>
      <c r="J138" s="21"/>
      <c r="K138" s="21"/>
      <c r="L138" s="21"/>
      <c r="M138" s="21"/>
      <c r="N138" s="21"/>
      <c r="O138" s="21"/>
    </row>
    <row r="139" spans="1:15" ht="18">
      <c r="A139" s="21"/>
      <c r="B139" s="21"/>
      <c r="C139" s="21"/>
      <c r="D139" s="21"/>
      <c r="E139" s="21"/>
      <c r="F139" s="21"/>
      <c r="G139" s="21"/>
      <c r="H139" s="21"/>
      <c r="I139" s="21"/>
      <c r="J139" s="21"/>
      <c r="K139" s="21"/>
      <c r="L139" s="21"/>
      <c r="M139" s="21"/>
      <c r="N139" s="21"/>
      <c r="O139" s="21"/>
    </row>
    <row r="140" spans="1:15" ht="18">
      <c r="A140" s="21"/>
      <c r="B140" s="21"/>
      <c r="C140" s="21"/>
      <c r="D140" s="21"/>
      <c r="E140" s="21"/>
      <c r="F140" s="21"/>
      <c r="G140" s="21"/>
      <c r="H140" s="21"/>
      <c r="I140" s="21"/>
      <c r="J140" s="21"/>
      <c r="K140" s="21"/>
      <c r="L140" s="21"/>
      <c r="M140" s="21"/>
      <c r="N140" s="21"/>
      <c r="O140" s="21"/>
    </row>
    <row r="141" spans="1:15" ht="18">
      <c r="A141" s="21"/>
      <c r="B141" s="21"/>
      <c r="C141" s="21"/>
      <c r="D141" s="21"/>
      <c r="E141" s="21"/>
      <c r="F141" s="21"/>
      <c r="G141" s="21"/>
      <c r="H141" s="21"/>
      <c r="I141" s="21"/>
      <c r="J141" s="21"/>
      <c r="K141" s="21"/>
      <c r="L141" s="21"/>
      <c r="M141" s="21"/>
      <c r="N141" s="21"/>
      <c r="O141" s="21"/>
    </row>
    <row r="142" spans="1:15" ht="18">
      <c r="A142" s="21"/>
      <c r="B142" s="21"/>
      <c r="C142" s="21"/>
      <c r="D142" s="21"/>
      <c r="E142" s="21"/>
      <c r="F142" s="21"/>
      <c r="G142" s="21"/>
      <c r="H142" s="21"/>
      <c r="I142" s="21"/>
      <c r="J142" s="21"/>
      <c r="K142" s="21"/>
      <c r="L142" s="21"/>
      <c r="M142" s="21"/>
      <c r="N142" s="21"/>
      <c r="O142" s="21"/>
    </row>
    <row r="143" spans="1:15" ht="18">
      <c r="A143" s="21"/>
      <c r="B143" s="21"/>
      <c r="C143" s="21"/>
      <c r="D143" s="21"/>
      <c r="E143" s="21"/>
      <c r="F143" s="21"/>
      <c r="G143" s="21"/>
      <c r="H143" s="21"/>
      <c r="I143" s="21"/>
      <c r="J143" s="21"/>
      <c r="K143" s="21"/>
      <c r="L143" s="21"/>
      <c r="M143" s="21"/>
      <c r="N143" s="21"/>
      <c r="O143" s="21"/>
    </row>
  </sheetData>
  <sheetProtection/>
  <mergeCells count="20">
    <mergeCell ref="A1:B1"/>
    <mergeCell ref="A11:B11"/>
    <mergeCell ref="C6:E6"/>
    <mergeCell ref="D7:E7"/>
    <mergeCell ref="A2:O2"/>
    <mergeCell ref="H9:K9"/>
    <mergeCell ref="G9:G10"/>
    <mergeCell ref="A3:O3"/>
    <mergeCell ref="L8:O8"/>
    <mergeCell ref="G7:O7"/>
    <mergeCell ref="A6:B10"/>
    <mergeCell ref="A4:O4"/>
    <mergeCell ref="L9:L10"/>
    <mergeCell ref="M9:O9"/>
    <mergeCell ref="F7:F10"/>
    <mergeCell ref="E8:E10"/>
    <mergeCell ref="F6:O6"/>
    <mergeCell ref="G8:K8"/>
    <mergeCell ref="D8:D10"/>
    <mergeCell ref="C7:C10"/>
  </mergeCells>
  <printOptions/>
  <pageMargins left="0.75" right="0.5" top="1" bottom="0.5"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IDC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Duc Cong</dc:creator>
  <cp:keywords/>
  <dc:description/>
  <cp:lastModifiedBy>HUNG_105</cp:lastModifiedBy>
  <cp:lastPrinted>2013-12-16T07:17:54Z</cp:lastPrinted>
  <dcterms:created xsi:type="dcterms:W3CDTF">2010-06-28T09:14:51Z</dcterms:created>
  <dcterms:modified xsi:type="dcterms:W3CDTF">2013-12-16T12:40:41Z</dcterms:modified>
  <cp:category/>
  <cp:version/>
  <cp:contentType/>
  <cp:contentStatus/>
</cp:coreProperties>
</file>